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laudija\Desktop\"/>
    </mc:Choice>
  </mc:AlternateContent>
  <workbookProtection workbookPassword="DE31" lockStructure="1"/>
  <bookViews>
    <workbookView xWindow="0" yWindow="0" windowWidth="25200" windowHeight="10725" tabRatio="601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I90" i="17" l="1"/>
  <c r="H9" i="25" l="1"/>
  <c r="G9" i="25"/>
  <c r="H8" i="25"/>
  <c r="G8" i="25"/>
  <c r="H7" i="25"/>
  <c r="G7" i="25"/>
  <c r="H6" i="25"/>
  <c r="G6" i="25"/>
  <c r="G10" i="4" l="1"/>
  <c r="I80" i="17" l="1"/>
  <c r="I3" i="4" l="1"/>
  <c r="H3" i="4"/>
  <c r="J37" i="17"/>
  <c r="I37" i="17"/>
  <c r="K51" i="17" l="1"/>
  <c r="K50" i="17"/>
  <c r="G3" i="4"/>
  <c r="I18" i="17"/>
  <c r="I5" i="4" l="1"/>
  <c r="H5" i="4"/>
  <c r="G5" i="4"/>
  <c r="J15" i="17"/>
  <c r="J33" i="17" l="1"/>
  <c r="K33" i="17" s="1"/>
  <c r="J32" i="17"/>
  <c r="K32" i="17" s="1"/>
  <c r="J31" i="17"/>
  <c r="K31" i="17" s="1"/>
  <c r="J12" i="17" l="1"/>
  <c r="K10" i="17"/>
  <c r="J10" i="17"/>
  <c r="J26" i="17"/>
  <c r="J40" i="17"/>
  <c r="K40" i="17" s="1"/>
  <c r="K38" i="17"/>
  <c r="J38" i="17"/>
  <c r="K37" i="17"/>
  <c r="K29" i="17"/>
  <c r="I36" i="17" l="1"/>
  <c r="I19" i="17" l="1"/>
  <c r="I11" i="17"/>
  <c r="I8" i="17"/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M50" i="14"/>
  <c r="L50" i="14"/>
  <c r="K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104" i="13"/>
  <c r="P100" i="13"/>
  <c r="P95" i="13"/>
  <c r="P91" i="13"/>
  <c r="P87" i="13"/>
  <c r="P83" i="13"/>
  <c r="P66" i="13"/>
  <c r="P61" i="13"/>
  <c r="P49" i="13"/>
  <c r="P29" i="13"/>
  <c r="P20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P53" i="13"/>
  <c r="P34" i="13"/>
  <c r="P12" i="13"/>
  <c r="P106" i="13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57" i="13"/>
  <c r="P24" i="13"/>
  <c r="P16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M108" i="14"/>
  <c r="L108" i="14"/>
  <c r="K108" i="14"/>
  <c r="J108" i="14"/>
  <c r="E108" i="14"/>
  <c r="O107" i="14"/>
  <c r="N107" i="14"/>
  <c r="M107" i="14"/>
  <c r="L107" i="14"/>
  <c r="K107" i="14"/>
  <c r="J107" i="14"/>
  <c r="E107" i="14"/>
  <c r="O105" i="14"/>
  <c r="N105" i="14"/>
  <c r="M105" i="14"/>
  <c r="L105" i="14"/>
  <c r="K105" i="14"/>
  <c r="J105" i="14"/>
  <c r="E105" i="14"/>
  <c r="O104" i="14"/>
  <c r="N104" i="14"/>
  <c r="M104" i="14"/>
  <c r="L104" i="14"/>
  <c r="K104" i="14"/>
  <c r="J104" i="14"/>
  <c r="E104" i="14"/>
  <c r="O103" i="14"/>
  <c r="N103" i="14"/>
  <c r="M103" i="14"/>
  <c r="L103" i="14"/>
  <c r="K103" i="14"/>
  <c r="J103" i="14"/>
  <c r="E103" i="14"/>
  <c r="O102" i="14"/>
  <c r="N102" i="14"/>
  <c r="M102" i="14"/>
  <c r="L102" i="14"/>
  <c r="K102" i="14"/>
  <c r="J102" i="14"/>
  <c r="E102" i="14"/>
  <c r="O101" i="14"/>
  <c r="N101" i="14"/>
  <c r="M101" i="14"/>
  <c r="L101" i="14"/>
  <c r="K101" i="14"/>
  <c r="J101" i="14"/>
  <c r="E101" i="14"/>
  <c r="O99" i="14"/>
  <c r="N99" i="14"/>
  <c r="M99" i="14"/>
  <c r="L99" i="14"/>
  <c r="K99" i="14"/>
  <c r="J99" i="14"/>
  <c r="E99" i="14"/>
  <c r="O98" i="14"/>
  <c r="N98" i="14"/>
  <c r="M98" i="14"/>
  <c r="L98" i="14"/>
  <c r="K98" i="14"/>
  <c r="J98" i="14"/>
  <c r="E98" i="14"/>
  <c r="O97" i="14"/>
  <c r="N97" i="14"/>
  <c r="M97" i="14"/>
  <c r="L97" i="14"/>
  <c r="K97" i="14"/>
  <c r="J97" i="14"/>
  <c r="E97" i="14"/>
  <c r="O96" i="14"/>
  <c r="N96" i="14"/>
  <c r="M96" i="14"/>
  <c r="L96" i="14"/>
  <c r="K96" i="14"/>
  <c r="J96" i="14"/>
  <c r="E96" i="14"/>
  <c r="O95" i="14"/>
  <c r="N95" i="14"/>
  <c r="M95" i="14"/>
  <c r="L95" i="14"/>
  <c r="K95" i="14"/>
  <c r="J95" i="14"/>
  <c r="E95" i="14"/>
  <c r="O94" i="14"/>
  <c r="N94" i="14"/>
  <c r="M94" i="14"/>
  <c r="L94" i="14"/>
  <c r="K94" i="14"/>
  <c r="J94" i="14"/>
  <c r="E94" i="14"/>
  <c r="O93" i="14"/>
  <c r="N93" i="14"/>
  <c r="M93" i="14"/>
  <c r="L93" i="14"/>
  <c r="K93" i="14"/>
  <c r="J93" i="14"/>
  <c r="E93" i="14"/>
  <c r="E81" i="14"/>
  <c r="J81" i="14"/>
  <c r="K81" i="14"/>
  <c r="L81" i="14"/>
  <c r="M81" i="14"/>
  <c r="N81" i="14"/>
  <c r="O81" i="14"/>
  <c r="E82" i="14"/>
  <c r="J82" i="14"/>
  <c r="K82" i="14"/>
  <c r="L82" i="14"/>
  <c r="M82" i="14"/>
  <c r="N82" i="14"/>
  <c r="O82" i="14"/>
  <c r="E83" i="14"/>
  <c r="J83" i="14"/>
  <c r="K83" i="14"/>
  <c r="L83" i="14"/>
  <c r="M83" i="14"/>
  <c r="N83" i="14"/>
  <c r="O83" i="14"/>
  <c r="E84" i="14"/>
  <c r="J84" i="14"/>
  <c r="K84" i="14"/>
  <c r="L84" i="14"/>
  <c r="M84" i="14"/>
  <c r="N84" i="14"/>
  <c r="O84" i="14"/>
  <c r="E85" i="14"/>
  <c r="J85" i="14"/>
  <c r="K85" i="14"/>
  <c r="L85" i="14"/>
  <c r="M85" i="14"/>
  <c r="N85" i="14"/>
  <c r="O85" i="14"/>
  <c r="E87" i="14"/>
  <c r="J87" i="14"/>
  <c r="K87" i="14"/>
  <c r="L87" i="14"/>
  <c r="M87" i="14"/>
  <c r="N87" i="14"/>
  <c r="O87" i="14"/>
  <c r="O88" i="14"/>
  <c r="N88" i="14"/>
  <c r="M88" i="14"/>
  <c r="L88" i="14"/>
  <c r="K88" i="14"/>
  <c r="J88" i="14"/>
  <c r="E88" i="14"/>
  <c r="O79" i="14"/>
  <c r="N79" i="14"/>
  <c r="M79" i="14"/>
  <c r="L79" i="14"/>
  <c r="K79" i="14"/>
  <c r="J79" i="14"/>
  <c r="E79" i="14"/>
  <c r="O78" i="14"/>
  <c r="N78" i="14"/>
  <c r="M78" i="14"/>
  <c r="L78" i="14"/>
  <c r="K78" i="14"/>
  <c r="J78" i="14"/>
  <c r="E78" i="14"/>
  <c r="O77" i="14"/>
  <c r="N77" i="14"/>
  <c r="M77" i="14"/>
  <c r="L77" i="14"/>
  <c r="K77" i="14"/>
  <c r="J77" i="14"/>
  <c r="E77" i="14"/>
  <c r="O76" i="14"/>
  <c r="N76" i="14"/>
  <c r="M76" i="14"/>
  <c r="L76" i="14"/>
  <c r="K76" i="14"/>
  <c r="J76" i="14"/>
  <c r="E76" i="14"/>
  <c r="O75" i="14"/>
  <c r="N75" i="14"/>
  <c r="M75" i="14"/>
  <c r="L75" i="14"/>
  <c r="K75" i="14"/>
  <c r="J75" i="14"/>
  <c r="E75" i="14"/>
  <c r="O74" i="14"/>
  <c r="N74" i="14"/>
  <c r="M74" i="14"/>
  <c r="L74" i="14"/>
  <c r="K74" i="14"/>
  <c r="J74" i="14"/>
  <c r="E74" i="14"/>
  <c r="O73" i="14"/>
  <c r="N73" i="14"/>
  <c r="M73" i="14"/>
  <c r="L73" i="14"/>
  <c r="K73" i="14"/>
  <c r="J73" i="14"/>
  <c r="E73" i="14"/>
  <c r="E86" i="14" l="1"/>
  <c r="P86" i="14"/>
  <c r="L86" i="14"/>
  <c r="M86" i="14"/>
  <c r="O86" i="14"/>
  <c r="K86" i="14"/>
  <c r="N86" i="14"/>
  <c r="J86" i="14"/>
  <c r="O68" i="14"/>
  <c r="N68" i="14"/>
  <c r="M68" i="14"/>
  <c r="L68" i="14"/>
  <c r="K68" i="14"/>
  <c r="J68" i="14"/>
  <c r="E68" i="14"/>
  <c r="O67" i="14"/>
  <c r="N67" i="14"/>
  <c r="M67" i="14"/>
  <c r="L67" i="14"/>
  <c r="K67" i="14"/>
  <c r="J67" i="14"/>
  <c r="E67" i="14"/>
  <c r="O66" i="14"/>
  <c r="N66" i="14"/>
  <c r="M66" i="14"/>
  <c r="L66" i="14"/>
  <c r="K66" i="14"/>
  <c r="J66" i="14"/>
  <c r="E66" i="14"/>
  <c r="O65" i="14"/>
  <c r="N65" i="14"/>
  <c r="M65" i="14"/>
  <c r="L65" i="14"/>
  <c r="K65" i="14"/>
  <c r="J65" i="14"/>
  <c r="E65" i="14"/>
  <c r="O64" i="14"/>
  <c r="N64" i="14"/>
  <c r="M64" i="14"/>
  <c r="L64" i="14"/>
  <c r="K64" i="14"/>
  <c r="J64" i="14"/>
  <c r="E64" i="14"/>
  <c r="O62" i="14"/>
  <c r="N62" i="14"/>
  <c r="M62" i="14"/>
  <c r="L62" i="14"/>
  <c r="K62" i="14"/>
  <c r="J62" i="14"/>
  <c r="E62" i="14"/>
  <c r="O61" i="14"/>
  <c r="N61" i="14"/>
  <c r="M61" i="14"/>
  <c r="L61" i="14"/>
  <c r="K61" i="14"/>
  <c r="J61" i="14"/>
  <c r="E61" i="14"/>
  <c r="O60" i="14"/>
  <c r="N60" i="14"/>
  <c r="M60" i="14"/>
  <c r="L60" i="14"/>
  <c r="K60" i="14"/>
  <c r="J60" i="14"/>
  <c r="E60" i="14"/>
  <c r="O57" i="14"/>
  <c r="N57" i="14"/>
  <c r="M57" i="14"/>
  <c r="L57" i="14"/>
  <c r="K57" i="14"/>
  <c r="J57" i="14"/>
  <c r="E57" i="14"/>
  <c r="O56" i="14"/>
  <c r="N56" i="14"/>
  <c r="M56" i="14"/>
  <c r="L56" i="14"/>
  <c r="K56" i="14"/>
  <c r="J56" i="14"/>
  <c r="E56" i="14"/>
  <c r="O55" i="14"/>
  <c r="N55" i="14"/>
  <c r="M55" i="14"/>
  <c r="L55" i="14"/>
  <c r="K55" i="14"/>
  <c r="J55" i="14"/>
  <c r="E55" i="14"/>
  <c r="O54" i="14"/>
  <c r="N54" i="14"/>
  <c r="M54" i="14"/>
  <c r="L54" i="14"/>
  <c r="K54" i="14"/>
  <c r="J54" i="14"/>
  <c r="E54" i="14"/>
  <c r="O52" i="14"/>
  <c r="N52" i="14"/>
  <c r="M52" i="14"/>
  <c r="L52" i="14"/>
  <c r="K52" i="14"/>
  <c r="J52" i="14"/>
  <c r="E52" i="14"/>
  <c r="O48" i="14"/>
  <c r="N48" i="14"/>
  <c r="M48" i="14"/>
  <c r="L48" i="14"/>
  <c r="K48" i="14"/>
  <c r="J48" i="14"/>
  <c r="E48" i="14"/>
  <c r="O47" i="14"/>
  <c r="N47" i="14"/>
  <c r="M47" i="14"/>
  <c r="L47" i="14"/>
  <c r="K47" i="14"/>
  <c r="J47" i="14"/>
  <c r="E47" i="14"/>
  <c r="O46" i="14"/>
  <c r="N46" i="14"/>
  <c r="M46" i="14"/>
  <c r="L46" i="14"/>
  <c r="K46" i="14"/>
  <c r="J46" i="14"/>
  <c r="E46" i="14"/>
  <c r="O45" i="14"/>
  <c r="N45" i="14"/>
  <c r="M45" i="14"/>
  <c r="L45" i="14"/>
  <c r="K45" i="14"/>
  <c r="J45" i="14"/>
  <c r="E45" i="14"/>
  <c r="O44" i="14"/>
  <c r="N44" i="14"/>
  <c r="M44" i="14"/>
  <c r="L44" i="14"/>
  <c r="K44" i="14"/>
  <c r="J44" i="14"/>
  <c r="E44" i="14"/>
  <c r="O43" i="14"/>
  <c r="N43" i="14"/>
  <c r="M43" i="14"/>
  <c r="L43" i="14"/>
  <c r="K43" i="14"/>
  <c r="J43" i="14"/>
  <c r="E43" i="14"/>
  <c r="O41" i="14"/>
  <c r="N41" i="14"/>
  <c r="M41" i="14"/>
  <c r="L41" i="14"/>
  <c r="K41" i="14"/>
  <c r="J41" i="14"/>
  <c r="E41" i="14"/>
  <c r="O40" i="14"/>
  <c r="N40" i="14"/>
  <c r="M40" i="14"/>
  <c r="L40" i="14"/>
  <c r="K40" i="14"/>
  <c r="J40" i="14"/>
  <c r="E40" i="14"/>
  <c r="L59" i="14" l="1"/>
  <c r="K59" i="14"/>
  <c r="O59" i="14"/>
  <c r="M59" i="14"/>
  <c r="J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M37" i="14"/>
  <c r="L37" i="14"/>
  <c r="K37" i="14"/>
  <c r="J37" i="14"/>
  <c r="E37" i="14"/>
  <c r="O36" i="14"/>
  <c r="N36" i="14"/>
  <c r="M36" i="14"/>
  <c r="L36" i="14"/>
  <c r="K36" i="14"/>
  <c r="J36" i="14"/>
  <c r="E36" i="14"/>
  <c r="O35" i="14"/>
  <c r="N35" i="14"/>
  <c r="M35" i="14"/>
  <c r="L35" i="14"/>
  <c r="K35" i="14"/>
  <c r="J35" i="14"/>
  <c r="E35" i="14"/>
  <c r="O34" i="14"/>
  <c r="N34" i="14"/>
  <c r="M34" i="14"/>
  <c r="L34" i="14"/>
  <c r="K34" i="14"/>
  <c r="J34" i="14"/>
  <c r="E34" i="14"/>
  <c r="O32" i="14"/>
  <c r="N32" i="14"/>
  <c r="M32" i="14"/>
  <c r="L32" i="14"/>
  <c r="K32" i="14"/>
  <c r="J32" i="14"/>
  <c r="E32" i="14"/>
  <c r="O31" i="14"/>
  <c r="N31" i="14"/>
  <c r="M31" i="14"/>
  <c r="L31" i="14"/>
  <c r="K31" i="14"/>
  <c r="J31" i="14"/>
  <c r="E31" i="14"/>
  <c r="O29" i="14"/>
  <c r="N29" i="14"/>
  <c r="M29" i="14"/>
  <c r="L29" i="14"/>
  <c r="K29" i="14"/>
  <c r="J29" i="14"/>
  <c r="E29" i="14"/>
  <c r="O28" i="14"/>
  <c r="N28" i="14"/>
  <c r="M28" i="14"/>
  <c r="L28" i="14"/>
  <c r="K28" i="14"/>
  <c r="J28" i="14"/>
  <c r="E28" i="14"/>
  <c r="O27" i="14"/>
  <c r="N27" i="14"/>
  <c r="M27" i="14"/>
  <c r="L27" i="14"/>
  <c r="K27" i="14"/>
  <c r="J27" i="14"/>
  <c r="E27" i="14"/>
  <c r="O26" i="14"/>
  <c r="N26" i="14"/>
  <c r="M26" i="14"/>
  <c r="L26" i="14"/>
  <c r="K26" i="14"/>
  <c r="J26" i="14"/>
  <c r="E26" i="14"/>
  <c r="O25" i="14"/>
  <c r="N25" i="14"/>
  <c r="M25" i="14"/>
  <c r="L25" i="14"/>
  <c r="K25" i="14"/>
  <c r="J25" i="14"/>
  <c r="E25" i="14"/>
  <c r="O24" i="14"/>
  <c r="N24" i="14"/>
  <c r="M24" i="14"/>
  <c r="L24" i="14"/>
  <c r="K24" i="14"/>
  <c r="J24" i="14"/>
  <c r="E24" i="14"/>
  <c r="O22" i="14"/>
  <c r="N22" i="14"/>
  <c r="M22" i="14"/>
  <c r="L22" i="14"/>
  <c r="K22" i="14"/>
  <c r="J22" i="14"/>
  <c r="E22" i="14"/>
  <c r="O21" i="14"/>
  <c r="N21" i="14"/>
  <c r="M21" i="14"/>
  <c r="L21" i="14"/>
  <c r="K21" i="14"/>
  <c r="J21" i="14"/>
  <c r="E21" i="14"/>
  <c r="O20" i="14"/>
  <c r="N20" i="14"/>
  <c r="M20" i="14"/>
  <c r="L20" i="14"/>
  <c r="K20" i="14"/>
  <c r="J20" i="14"/>
  <c r="E20" i="14"/>
  <c r="O18" i="14"/>
  <c r="N18" i="14"/>
  <c r="M18" i="14"/>
  <c r="L18" i="14"/>
  <c r="K18" i="14"/>
  <c r="J18" i="14"/>
  <c r="E18" i="14"/>
  <c r="O17" i="14"/>
  <c r="N17" i="14"/>
  <c r="M17" i="14"/>
  <c r="L17" i="14"/>
  <c r="K17" i="14"/>
  <c r="J17" i="14"/>
  <c r="E17" i="14"/>
  <c r="O16" i="14"/>
  <c r="N16" i="14"/>
  <c r="M16" i="14"/>
  <c r="L16" i="14"/>
  <c r="K16" i="14"/>
  <c r="J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L14" i="14"/>
  <c r="K14" i="14"/>
  <c r="J14" i="14"/>
  <c r="O13" i="14"/>
  <c r="N13" i="14"/>
  <c r="M13" i="14"/>
  <c r="K13" i="14"/>
  <c r="J13" i="14"/>
  <c r="E13" i="14"/>
  <c r="O12" i="14"/>
  <c r="N12" i="14"/>
  <c r="M12" i="14"/>
  <c r="K12" i="14"/>
  <c r="J12" i="14"/>
  <c r="O11" i="14"/>
  <c r="N11" i="14"/>
  <c r="M11" i="14"/>
  <c r="L11" i="14"/>
  <c r="K11" i="14"/>
  <c r="J11" i="14"/>
  <c r="E11" i="14"/>
  <c r="O10" i="14"/>
  <c r="N10" i="14"/>
  <c r="M10" i="14"/>
  <c r="L10" i="14"/>
  <c r="K10" i="14"/>
  <c r="J10" i="14"/>
  <c r="O8" i="14"/>
  <c r="N8" i="14"/>
  <c r="M8" i="14"/>
  <c r="K8" i="14"/>
  <c r="J8" i="14"/>
  <c r="E8" i="14"/>
  <c r="O7" i="14"/>
  <c r="N7" i="14"/>
  <c r="M7" i="14"/>
  <c r="K7" i="14"/>
  <c r="J7" i="14"/>
  <c r="O6" i="14"/>
  <c r="N6" i="14"/>
  <c r="M6" i="14"/>
  <c r="L6" i="14"/>
  <c r="K6" i="14"/>
  <c r="J6" i="14"/>
  <c r="E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3" i="14" l="1"/>
  <c r="H13" i="14"/>
  <c r="G36" i="14"/>
  <c r="I14" i="14"/>
  <c r="I8" i="14"/>
  <c r="I7" i="14"/>
  <c r="I6" i="14"/>
  <c r="I10" i="14"/>
  <c r="I12" i="14"/>
  <c r="I11" i="14"/>
  <c r="I50" i="14"/>
  <c r="I62" i="14"/>
  <c r="I61" i="14"/>
  <c r="I60" i="14"/>
  <c r="I57" i="14"/>
  <c r="I56" i="14"/>
  <c r="I68" i="14"/>
  <c r="I67" i="14"/>
  <c r="I66" i="14"/>
  <c r="I52" i="14"/>
  <c r="I48" i="14"/>
  <c r="I47" i="14"/>
  <c r="I46" i="14"/>
  <c r="I45" i="14"/>
  <c r="I65" i="14"/>
  <c r="I64" i="14"/>
  <c r="I55" i="14"/>
  <c r="I54" i="14"/>
  <c r="I44" i="14"/>
  <c r="I43" i="14"/>
  <c r="I41" i="14"/>
  <c r="I40" i="14"/>
  <c r="I16" i="14"/>
  <c r="I17" i="14"/>
  <c r="I18" i="14"/>
  <c r="I20" i="14"/>
  <c r="I21" i="14"/>
  <c r="I22" i="14"/>
  <c r="I24" i="14"/>
  <c r="I25" i="14"/>
  <c r="I26" i="14"/>
  <c r="I27" i="14"/>
  <c r="I28" i="14"/>
  <c r="I29" i="14"/>
  <c r="I31" i="14"/>
  <c r="I32" i="14"/>
  <c r="I34" i="14"/>
  <c r="I35" i="14"/>
  <c r="I36" i="14"/>
  <c r="I37" i="14"/>
  <c r="I108" i="14"/>
  <c r="I107" i="14"/>
  <c r="I105" i="14"/>
  <c r="I79" i="14"/>
  <c r="I78" i="14"/>
  <c r="I77" i="14"/>
  <c r="I104" i="14"/>
  <c r="I103" i="14"/>
  <c r="I102" i="14"/>
  <c r="I101" i="14"/>
  <c r="I99" i="14"/>
  <c r="I95" i="14"/>
  <c r="I94" i="14"/>
  <c r="I93" i="14"/>
  <c r="I88" i="14"/>
  <c r="I81" i="14"/>
  <c r="I82" i="14"/>
  <c r="I83" i="14"/>
  <c r="I84" i="14"/>
  <c r="I85" i="14"/>
  <c r="I87" i="14"/>
  <c r="I98" i="14"/>
  <c r="I97" i="14"/>
  <c r="I96" i="14"/>
  <c r="I76" i="14"/>
  <c r="I75" i="14"/>
  <c r="I74" i="14"/>
  <c r="I73" i="14"/>
  <c r="H22" i="14"/>
  <c r="H37" i="14"/>
  <c r="H10" i="14"/>
  <c r="H14" i="14"/>
  <c r="H32" i="14"/>
  <c r="H6" i="14"/>
  <c r="H7" i="14"/>
  <c r="H8" i="14"/>
  <c r="H11" i="14"/>
  <c r="H12" i="14"/>
  <c r="H17" i="14"/>
  <c r="F14" i="14"/>
  <c r="F28" i="14"/>
  <c r="F31" i="14"/>
  <c r="F34" i="14"/>
  <c r="F6" i="14"/>
  <c r="F20" i="14"/>
  <c r="G24" i="14"/>
  <c r="G26" i="14"/>
  <c r="G28" i="14"/>
  <c r="G31" i="14"/>
  <c r="G34" i="14"/>
  <c r="G50" i="14"/>
  <c r="G67" i="14"/>
  <c r="G65" i="14"/>
  <c r="G62" i="14"/>
  <c r="G60" i="14"/>
  <c r="G56" i="14"/>
  <c r="G54" i="14"/>
  <c r="G47" i="14"/>
  <c r="G40" i="14"/>
  <c r="G48" i="14"/>
  <c r="G46" i="14"/>
  <c r="G44" i="14"/>
  <c r="G41" i="14"/>
  <c r="G55" i="14"/>
  <c r="G45" i="14"/>
  <c r="G43" i="14"/>
  <c r="G68" i="14"/>
  <c r="G66" i="14"/>
  <c r="G64" i="14"/>
  <c r="G61" i="14"/>
  <c r="G57" i="14"/>
  <c r="G52" i="14"/>
  <c r="F17" i="14"/>
  <c r="F24" i="14"/>
  <c r="F26" i="14"/>
  <c r="F82" i="14"/>
  <c r="F84" i="14"/>
  <c r="F87" i="14"/>
  <c r="F108" i="14"/>
  <c r="F105" i="14"/>
  <c r="F103" i="14"/>
  <c r="F98" i="14"/>
  <c r="F96" i="14"/>
  <c r="F94" i="14"/>
  <c r="F78" i="14"/>
  <c r="F74" i="14"/>
  <c r="F76" i="14"/>
  <c r="F81" i="14"/>
  <c r="F83" i="14"/>
  <c r="F85" i="14"/>
  <c r="F107" i="14"/>
  <c r="F104" i="14"/>
  <c r="F102" i="14"/>
  <c r="F99" i="14"/>
  <c r="F97" i="14"/>
  <c r="F95" i="14"/>
  <c r="F93" i="14"/>
  <c r="F79" i="14"/>
  <c r="F77" i="14"/>
  <c r="F75" i="14"/>
  <c r="F73" i="14"/>
  <c r="F101" i="14"/>
  <c r="F88" i="14"/>
  <c r="G17" i="14"/>
  <c r="F22" i="14"/>
  <c r="F7" i="14"/>
  <c r="F12" i="14"/>
  <c r="F50" i="14"/>
  <c r="F49" i="14" s="1"/>
  <c r="F47" i="14"/>
  <c r="F45" i="14"/>
  <c r="F43" i="14"/>
  <c r="F40" i="14"/>
  <c r="F48" i="14"/>
  <c r="F66" i="14"/>
  <c r="F55" i="14"/>
  <c r="F52" i="14"/>
  <c r="F67" i="14"/>
  <c r="F65" i="14"/>
  <c r="F62" i="14"/>
  <c r="F60" i="14"/>
  <c r="F56" i="14"/>
  <c r="F54" i="14"/>
  <c r="F41" i="14"/>
  <c r="F68" i="14"/>
  <c r="F64" i="14"/>
  <c r="F61" i="14"/>
  <c r="F57" i="14"/>
  <c r="F46" i="14"/>
  <c r="F44" i="14"/>
  <c r="F16" i="14"/>
  <c r="G20" i="14"/>
  <c r="G22" i="14"/>
  <c r="F25" i="14"/>
  <c r="F27" i="14"/>
  <c r="F29" i="14"/>
  <c r="F32" i="14"/>
  <c r="F35" i="14"/>
  <c r="F37" i="14"/>
  <c r="G18" i="14"/>
  <c r="G21" i="14"/>
  <c r="F36" i="14"/>
  <c r="F11" i="14"/>
  <c r="F8" i="14"/>
  <c r="F10" i="14"/>
  <c r="F13" i="14"/>
  <c r="G108" i="14"/>
  <c r="G105" i="14"/>
  <c r="G103" i="14"/>
  <c r="G101" i="14"/>
  <c r="G98" i="14"/>
  <c r="G96" i="14"/>
  <c r="G94" i="14"/>
  <c r="G88" i="14"/>
  <c r="G78" i="14"/>
  <c r="G76" i="14"/>
  <c r="G82" i="14"/>
  <c r="G107" i="14"/>
  <c r="G104" i="14"/>
  <c r="G102" i="14"/>
  <c r="G99" i="14"/>
  <c r="G97" i="14"/>
  <c r="G95" i="14"/>
  <c r="G93" i="14"/>
  <c r="G79" i="14"/>
  <c r="G77" i="14"/>
  <c r="G75" i="14"/>
  <c r="G73" i="14"/>
  <c r="G81" i="14"/>
  <c r="G83" i="14"/>
  <c r="G85" i="14"/>
  <c r="G84" i="14"/>
  <c r="G87" i="14"/>
  <c r="G74" i="14"/>
  <c r="G16" i="14"/>
  <c r="F18" i="14"/>
  <c r="F21" i="14"/>
  <c r="G25" i="14"/>
  <c r="G27" i="14"/>
  <c r="G29" i="14"/>
  <c r="G32" i="14"/>
  <c r="G35" i="14"/>
  <c r="G37" i="14"/>
  <c r="D7" i="14"/>
  <c r="D28" i="14"/>
  <c r="D6" i="14"/>
  <c r="H27" i="14"/>
  <c r="H50" i="14"/>
  <c r="H66" i="14"/>
  <c r="H61" i="14"/>
  <c r="H55" i="14"/>
  <c r="H46" i="14"/>
  <c r="H41" i="14"/>
  <c r="H60" i="14"/>
  <c r="H54" i="14"/>
  <c r="H45" i="14"/>
  <c r="H67" i="14"/>
  <c r="H62" i="14"/>
  <c r="H56" i="14"/>
  <c r="H47" i="14"/>
  <c r="H43" i="14"/>
  <c r="H65" i="14"/>
  <c r="H68" i="14"/>
  <c r="H64" i="14"/>
  <c r="H57" i="14"/>
  <c r="H52" i="14"/>
  <c r="H48" i="14"/>
  <c r="H44" i="14"/>
  <c r="H40" i="14"/>
  <c r="H16" i="14"/>
  <c r="H21" i="14"/>
  <c r="H26" i="14"/>
  <c r="H31" i="14"/>
  <c r="H36" i="14"/>
  <c r="H20" i="14"/>
  <c r="H25" i="14"/>
  <c r="H29" i="14"/>
  <c r="H35" i="14"/>
  <c r="H18" i="14"/>
  <c r="H24" i="14"/>
  <c r="H28" i="14"/>
  <c r="H34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I59" i="14" l="1"/>
  <c r="I86" i="14"/>
  <c r="G86" i="14"/>
  <c r="F86" i="14"/>
  <c r="H59" i="14"/>
  <c r="H63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<sst xmlns="http://schemas.openxmlformats.org/spreadsheetml/2006/main" count="3406" uniqueCount="1721">
  <si>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</si>
  <si>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</si>
  <si>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</si>
  <si>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</si>
  <si>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</si>
  <si>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</si>
  <si>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</si>
  <si>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</si>
  <si>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</si>
  <si>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</si>
  <si>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</si>
  <si>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</si>
  <si>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</si>
  <si>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</si>
  <si>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</si>
  <si>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</si>
  <si>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</si>
  <si>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</si>
  <si>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</si>
  <si>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</si>
  <si>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</si>
  <si>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</si>
  <si>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</si>
  <si>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</si>
  <si>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</si>
  <si>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</si>
  <si>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</si>
  <si>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</si>
  <si>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</si>
  <si>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</si>
  <si>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</si>
  <si>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</si>
  <si>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</si>
  <si>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</si>
  <si>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</si>
  <si>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</si>
  <si>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</si>
  <si>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</si>
  <si>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</si>
  <si>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</si>
  <si>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</si>
  <si>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</si>
  <si>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</si>
  <si>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</si>
  <si>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</si>
  <si>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</si>
  <si>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</si>
  <si>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</si>
  <si>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</si>
  <si>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</si>
  <si>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</si>
  <si>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</si>
  <si>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</si>
  <si>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</si>
  <si>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</si>
  <si>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</si>
  <si>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</si>
  <si>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</si>
  <si>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</si>
  <si>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</si>
  <si>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</si>
  <si>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</si>
  <si>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</si>
  <si>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</si>
  <si>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</si>
  <si>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</si>
  <si>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</si>
  <si>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</si>
  <si>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</si>
  <si>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</si>
  <si>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</si>
  <si>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</si>
  <si>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</si>
  <si>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</si>
  <si>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</si>
  <si>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</si>
  <si>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</si>
  <si>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</si>
  <si>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</si>
  <si>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</si>
  <si>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</si>
  <si>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</si>
  <si>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</si>
  <si>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</si>
  <si>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</si>
  <si>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</si>
  <si>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</si>
  <si>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</si>
  <si>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</si>
  <si>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</si>
  <si>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</si>
  <si>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</si>
  <si>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</si>
  <si>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</si>
  <si>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</si>
  <si>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</si>
  <si>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</si>
  <si>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</si>
  <si>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</si>
  <si>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</si>
  <si>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</si>
  <si>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</si>
  <si>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</si>
  <si>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</si>
  <si>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</si>
  <si>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</si>
  <si>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</si>
  <si>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</si>
  <si>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</si>
  <si>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</si>
  <si>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</si>
  <si>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</si>
  <si>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</si>
  <si>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</si>
  <si>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</si>
  <si>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</si>
  <si>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</si>
  <si>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</si>
  <si>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</si>
  <si>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</si>
  <si>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</si>
  <si>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</si>
  <si>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</si>
  <si>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</si>
  <si>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</si>
  <si>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</si>
  <si>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</si>
  <si>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</si>
  <si>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</si>
  <si>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</si>
  <si>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</si>
  <si>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</si>
  <si>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</si>
  <si>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</si>
  <si>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</si>
  <si>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</si>
  <si>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</si>
  <si>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</si>
  <si>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</si>
  <si>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</si>
  <si>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</si>
  <si>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</si>
  <si>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</si>
  <si>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</si>
  <si>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</si>
  <si>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</si>
  <si>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</si>
  <si>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</si>
  <si>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</si>
  <si>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</si>
  <si>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</si>
  <si>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</si>
  <si>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</si>
  <si>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</si>
  <si>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</si>
  <si>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</si>
  <si>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</si>
  <si>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</si>
  <si>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</si>
  <si>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</si>
  <si>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</si>
  <si>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</si>
  <si>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</si>
  <si>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</si>
  <si>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</si>
  <si>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</si>
  <si>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</si>
  <si>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</si>
  <si>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</si>
  <si>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</si>
  <si>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</si>
  <si>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</si>
  <si>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</si>
  <si>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</si>
  <si>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</si>
  <si>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</si>
  <si>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</si>
  <si>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</si>
  <si>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</si>
  <si>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</si>
  <si>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</si>
  <si>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</si>
  <si>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</si>
  <si>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</si>
  <si>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</si>
  <si>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</si>
  <si>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</si>
  <si>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</si>
  <si>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</si>
  <si>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</si>
  <si>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</si>
  <si>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</si>
  <si>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</si>
  <si>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</si>
  <si>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</si>
  <si>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</si>
  <si>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</si>
  <si>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</si>
  <si>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</si>
  <si>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</si>
  <si>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</si>
  <si>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</si>
  <si>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</si>
  <si>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</si>
  <si>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</si>
  <si>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</si>
  <si>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</si>
  <si>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</si>
  <si>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</si>
  <si>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</si>
  <si>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</si>
  <si>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</si>
  <si>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</si>
  <si>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</si>
  <si>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</si>
  <si>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</si>
  <si>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</si>
  <si>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</si>
  <si>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</si>
  <si>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</si>
  <si>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</si>
  <si>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</si>
  <si>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</si>
  <si>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</si>
  <si>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</si>
  <si>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</si>
  <si>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</si>
  <si>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</si>
  <si>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</si>
  <si>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</si>
  <si>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</si>
  <si>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</si>
  <si>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</si>
  <si>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</si>
  <si>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</si>
  <si>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</si>
  <si>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</si>
  <si>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</si>
  <si>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</si>
  <si>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</si>
  <si>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</si>
  <si>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</si>
  <si>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</si>
  <si>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</si>
  <si>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</si>
  <si>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</si>
  <si>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</si>
  <si>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</si>
  <si>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</si>
  <si>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</si>
  <si>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</si>
  <si>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</si>
  <si>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</si>
  <si>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</si>
  <si>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</si>
  <si>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</si>
  <si>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</si>
  <si>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</si>
  <si>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</si>
  <si>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</si>
  <si>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</si>
  <si>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</si>
  <si>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</si>
  <si>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</si>
  <si>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</si>
  <si>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</si>
  <si>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</si>
  <si>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</si>
  <si>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</si>
  <si>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</si>
  <si>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</si>
  <si>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</si>
  <si>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</si>
  <si>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</si>
  <si>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</si>
  <si>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</si>
  <si>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</si>
  <si>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</si>
  <si>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</si>
  <si>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</si>
  <si>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</si>
  <si>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</si>
  <si>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</si>
  <si>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</si>
  <si>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</si>
  <si>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</si>
  <si>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</si>
  <si>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</si>
  <si>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</si>
  <si>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</si>
  <si>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</si>
  <si>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</si>
  <si>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</si>
  <si>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</si>
  <si>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</si>
  <si>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</si>
  <si>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</si>
  <si>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</si>
  <si>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</si>
  <si>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</si>
  <si>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</si>
  <si>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</si>
  <si>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</si>
  <si>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</si>
  <si>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</si>
  <si>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</si>
  <si>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</si>
  <si>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</si>
  <si>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</si>
  <si>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</si>
  <si>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</si>
  <si>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</si>
  <si>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</si>
  <si>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</si>
  <si>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</si>
  <si>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</si>
  <si>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</si>
  <si>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</si>
  <si>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</si>
  <si>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</si>
  <si>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</si>
  <si>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</si>
  <si>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</si>
  <si>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</si>
  <si>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</si>
  <si>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</si>
  <si>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</si>
  <si>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</si>
  <si>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</si>
  <si>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</si>
  <si>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</si>
  <si>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</si>
  <si>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</si>
  <si>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</si>
  <si>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</si>
  <si>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</si>
  <si>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</si>
  <si>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</si>
  <si>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</si>
  <si>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</si>
  <si>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</si>
  <si>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</si>
  <si>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</si>
  <si>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</si>
  <si>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</si>
  <si>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</si>
  <si>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</si>
  <si>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</si>
  <si>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</si>
  <si>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</si>
  <si>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</si>
  <si>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</si>
  <si>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</si>
  <si>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</si>
  <si>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</si>
  <si>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</si>
  <si>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</si>
  <si>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</si>
  <si>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</si>
  <si>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</si>
  <si>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</si>
  <si>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</si>
  <si>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</si>
  <si>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</si>
  <si>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</si>
  <si>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</si>
  <si>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</si>
  <si>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</si>
  <si>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</si>
  <si>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</si>
  <si>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</si>
  <si>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</si>
  <si>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</si>
  <si>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</si>
  <si>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</si>
  <si>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</si>
  <si>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</si>
  <si>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</si>
  <si>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</si>
  <si>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</si>
  <si>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</si>
  <si>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</si>
  <si>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</si>
  <si>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</si>
  <si>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</si>
  <si>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</si>
  <si>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</si>
  <si>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</si>
  <si>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</si>
  <si>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</si>
  <si>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</si>
  <si>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</si>
  <si>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</si>
  <si>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</si>
  <si>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</si>
  <si>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</si>
  <si>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</si>
  <si>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</si>
  <si>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</si>
  <si>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</si>
  <si>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</si>
  <si>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</si>
  <si>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</si>
  <si>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</si>
  <si>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</si>
  <si>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</si>
  <si>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</si>
  <si>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</si>
  <si>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</si>
  <si>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</si>
  <si>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</si>
  <si>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</si>
  <si>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</si>
  <si>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</si>
  <si>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</si>
  <si>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</si>
  <si>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</si>
  <si>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</si>
  <si>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</si>
  <si>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</si>
  <si>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</si>
  <si>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</si>
  <si>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</si>
  <si>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</si>
  <si>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</si>
  <si>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</si>
  <si>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</si>
  <si>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</si>
  <si>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</si>
  <si>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</si>
  <si>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</si>
  <si>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</si>
  <si>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</si>
  <si>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</si>
  <si>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</si>
  <si>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</si>
  <si>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</si>
  <si>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</si>
  <si>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</si>
  <si>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</si>
  <si>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</si>
  <si>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</si>
  <si>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</si>
  <si>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</si>
  <si>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</si>
  <si>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</si>
  <si>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</si>
  <si>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</si>
  <si>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</si>
  <si>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</si>
  <si>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</si>
  <si>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</si>
  <si>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</si>
  <si>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</si>
  <si>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</si>
  <si>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</si>
  <si>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</si>
  <si>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</si>
  <si>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</si>
  <si>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</si>
  <si>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</si>
  <si>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</si>
  <si>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</si>
  <si>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</si>
  <si>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</si>
  <si>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</si>
  <si>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</si>
  <si>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</si>
  <si>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</si>
  <si>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</si>
  <si>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</si>
  <si>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</si>
  <si>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</si>
  <si>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</si>
  <si>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</si>
  <si>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</si>
  <si>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</si>
  <si>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</si>
  <si>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</si>
  <si>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</si>
  <si>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</si>
  <si>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</si>
  <si>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</si>
  <si>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</si>
  <si>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</si>
  <si>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</si>
  <si>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</si>
  <si>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</si>
  <si>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</si>
  <si>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</si>
  <si>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</si>
  <si>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</si>
  <si>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</si>
  <si>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</si>
  <si>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</si>
  <si>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</si>
  <si>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</si>
  <si>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</si>
  <si>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</si>
  <si>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</si>
  <si>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</si>
  <si>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</si>
  <si>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</si>
  <si>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</si>
  <si>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</si>
  <si>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</si>
  <si>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</si>
  <si>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</si>
  <si>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</si>
  <si>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</si>
  <si>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</si>
  <si>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</si>
  <si>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</si>
  <si>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</si>
  <si>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</si>
  <si>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</si>
  <si>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</si>
  <si>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</si>
  <si>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</si>
  <si>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</si>
  <si>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</si>
  <si>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</si>
  <si>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</si>
  <si>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</si>
  <si>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</si>
  <si>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</si>
  <si>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</si>
  <si>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</si>
  <si>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</si>
  <si>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</si>
  <si>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</si>
  <si>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</si>
  <si>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</si>
  <si>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</si>
  <si>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</si>
  <si>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</si>
  <si>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</si>
  <si>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</si>
  <si>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</si>
  <si>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</si>
  <si>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</si>
  <si>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</si>
  <si>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</si>
  <si>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</si>
  <si>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</si>
  <si>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</si>
  <si>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</si>
  <si>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</si>
  <si>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</si>
  <si>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</si>
  <si>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</si>
  <si>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</si>
  <si>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</si>
  <si>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</si>
  <si>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</si>
  <si>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</si>
  <si>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</si>
  <si>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</si>
  <si>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</si>
  <si>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</si>
  <si>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</si>
  <si>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</si>
  <si>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</si>
  <si>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</si>
  <si>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</si>
  <si>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</si>
  <si>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</si>
  <si>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</si>
  <si>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</si>
  <si>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</si>
  <si>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</si>
  <si>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</si>
  <si>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</si>
  <si>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</si>
  <si>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</si>
  <si>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</si>
  <si>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</si>
  <si>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</si>
  <si>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</si>
  <si>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</si>
  <si>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</si>
  <si>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</si>
  <si>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</si>
  <si>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</si>
  <si>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</si>
  <si>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</si>
  <si>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</si>
  <si>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</si>
  <si>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</si>
  <si>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</si>
  <si>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</si>
  <si>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</si>
  <si>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</si>
  <si>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</si>
  <si>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</si>
  <si>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</si>
  <si>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</si>
  <si>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</si>
  <si>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</si>
  <si>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</si>
  <si>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</si>
  <si>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</si>
  <si>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</si>
  <si>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</si>
  <si>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</si>
  <si>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</si>
  <si>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</si>
  <si>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</si>
  <si>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</si>
  <si>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</si>
  <si>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</si>
  <si>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</si>
  <si>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</si>
  <si>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</si>
  <si>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</si>
  <si>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</si>
  <si>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</si>
  <si>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</si>
  <si>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</si>
  <si>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</si>
  <si>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</si>
  <si>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</si>
  <si>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</si>
  <si>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</si>
  <si>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</si>
  <si>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</si>
  <si>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</si>
  <si>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</si>
  <si>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</si>
  <si>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</si>
  <si>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</si>
  <si>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</si>
  <si>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</si>
  <si>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</si>
  <si>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</si>
  <si>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</si>
  <si>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</si>
  <si>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</si>
  <si>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</si>
  <si>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</si>
  <si>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</si>
  <si>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</si>
  <si>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</si>
  <si>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</si>
  <si>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</si>
  <si>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</si>
  <si>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</si>
  <si>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</si>
  <si>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</si>
  <si>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</si>
  <si>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</si>
  <si>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</si>
  <si>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</si>
  <si>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</si>
  <si>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</si>
  <si>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</si>
  <si>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</si>
  <si>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</si>
  <si>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</si>
  <si>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</si>
  <si>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</si>
  <si>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</si>
  <si>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</si>
  <si>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</si>
  <si>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</si>
  <si>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</si>
  <si>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</si>
  <si>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</si>
  <si>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</si>
  <si>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</si>
  <si>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</si>
  <si>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</si>
  <si>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</si>
  <si>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</si>
  <si>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</si>
  <si>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</si>
  <si>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</si>
  <si>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</si>
  <si>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</si>
  <si>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</si>
  <si>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</si>
  <si>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</si>
  <si>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</si>
  <si>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</si>
  <si>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</si>
  <si>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</si>
  <si>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</si>
  <si>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</si>
  <si>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</si>
  <si>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</si>
  <si>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</si>
  <si>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</si>
  <si>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</si>
  <si>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</si>
  <si>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</si>
  <si>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</si>
  <si>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</si>
  <si>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</si>
  <si>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</si>
  <si>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</si>
  <si>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</si>
  <si>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</si>
  <si>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</si>
  <si>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</si>
  <si>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</si>
  <si>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</si>
  <si>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</si>
  <si>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</si>
  <si>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</si>
  <si>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</si>
  <si>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</si>
  <si>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</si>
  <si>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</si>
  <si>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</si>
  <si>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</si>
  <si>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</si>
  <si>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</si>
  <si>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</si>
  <si>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</si>
  <si>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</si>
  <si>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</si>
  <si>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</si>
  <si>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</si>
  <si>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</si>
  <si>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</si>
  <si>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</si>
  <si>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</si>
  <si>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</si>
  <si>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</si>
  <si>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</si>
  <si>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</si>
  <si>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</si>
  <si>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</si>
  <si>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</si>
  <si>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</si>
  <si>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</si>
  <si>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</si>
  <si>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</si>
  <si>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</si>
  <si>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</si>
  <si>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</si>
  <si>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</si>
  <si>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</si>
  <si>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</si>
  <si>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</si>
  <si>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</si>
  <si>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</si>
  <si>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</si>
  <si>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</si>
  <si>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</si>
  <si>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</si>
  <si>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</si>
  <si>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</si>
  <si>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</si>
  <si>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</si>
  <si>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</si>
  <si>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</si>
  <si>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</si>
  <si>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</si>
  <si>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</si>
  <si>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</si>
  <si>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</si>
  <si>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</si>
  <si>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</si>
  <si>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</si>
  <si>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</si>
  <si>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</si>
  <si>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</si>
  <si>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</si>
  <si>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</si>
  <si>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</si>
  <si>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</si>
  <si>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</si>
  <si>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</si>
  <si>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</si>
  <si>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</si>
  <si>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</si>
  <si>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</si>
  <si>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</si>
  <si>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</si>
  <si>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</si>
  <si>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</si>
  <si>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</si>
  <si>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</si>
  <si>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</si>
  <si>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</si>
  <si>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</si>
  <si>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</si>
  <si>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</si>
  <si>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</si>
  <si>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</si>
  <si>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</si>
  <si>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</si>
  <si>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</si>
  <si>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</si>
  <si>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</si>
  <si>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</si>
  <si>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</si>
  <si>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</si>
  <si>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</si>
  <si>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</si>
  <si>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</si>
  <si>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</si>
  <si>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</si>
  <si>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</si>
  <si>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</si>
  <si>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</si>
  <si>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</si>
  <si>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</si>
  <si>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</si>
  <si>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</si>
  <si>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</si>
  <si>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</si>
  <si>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</si>
  <si>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</si>
  <si>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</si>
  <si>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</si>
  <si>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</si>
  <si>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</si>
  <si>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</si>
  <si>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</si>
  <si>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</si>
  <si>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</si>
  <si>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</si>
  <si>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</si>
  <si>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</si>
  <si>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</si>
  <si>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</si>
  <si>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</si>
  <si>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</si>
  <si>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</si>
  <si>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</si>
  <si>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</si>
  <si>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</si>
  <si>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</si>
  <si>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</si>
  <si>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</si>
  <si>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</si>
  <si>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</si>
  <si>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</si>
  <si>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</si>
  <si>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</si>
  <si>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</si>
  <si>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</si>
  <si>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</si>
  <si>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</si>
  <si>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</si>
  <si>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</si>
  <si>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</si>
  <si>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</si>
  <si>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</si>
  <si>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</si>
  <si>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</si>
  <si>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</si>
  <si>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</si>
  <si>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</si>
  <si>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</si>
  <si>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</si>
  <si>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</si>
  <si>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</si>
  <si>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</si>
  <si>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</si>
  <si>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</si>
  <si>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</si>
  <si>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</si>
  <si>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</si>
  <si>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</si>
  <si>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</si>
  <si>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</si>
  <si>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</si>
  <si>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</si>
  <si>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</si>
  <si>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</si>
  <si>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</si>
  <si>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</si>
  <si>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</si>
  <si>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</si>
  <si>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</si>
  <si>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</si>
  <si>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</si>
  <si>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</si>
  <si>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</si>
  <si>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</si>
  <si>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</si>
  <si>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</si>
  <si>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</si>
  <si>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</si>
  <si>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</si>
  <si>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</si>
  <si>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</si>
  <si>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</si>
  <si>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</si>
  <si>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</si>
  <si>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</si>
  <si>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</si>
  <si>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</si>
  <si>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</si>
  <si>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</si>
  <si>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</si>
  <si>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</si>
  <si>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</si>
  <si>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</si>
  <si>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</si>
  <si>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</si>
  <si>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</si>
  <si>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</si>
  <si>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</si>
  <si>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</si>
  <si>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</si>
  <si>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</si>
  <si>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</si>
  <si>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</si>
  <si>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</si>
  <si>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</si>
  <si>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</si>
  <si>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</si>
  <si>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</si>
  <si>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</si>
  <si>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</si>
  <si>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</si>
  <si>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</si>
  <si>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</si>
  <si>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</si>
  <si>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</si>
  <si>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</si>
  <si>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</si>
  <si>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</si>
  <si>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</si>
  <si>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</si>
  <si>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</si>
  <si>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</si>
  <si>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</si>
  <si>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</si>
  <si>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</si>
  <si>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</si>
  <si>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</si>
  <si>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</si>
  <si>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</si>
  <si>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</si>
  <si>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</si>
  <si>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</si>
  <si>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</si>
  <si>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</si>
  <si>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</si>
  <si>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</si>
  <si>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</si>
  <si>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</si>
  <si>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</si>
  <si>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</si>
  <si>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</si>
  <si>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</si>
  <si>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</si>
  <si>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</si>
  <si>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</si>
  <si>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</si>
  <si>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</si>
  <si>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</si>
  <si>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</si>
  <si>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</si>
  <si>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</si>
  <si>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</si>
  <si>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</si>
  <si>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</si>
  <si>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</si>
  <si>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</si>
  <si>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</si>
  <si>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</si>
  <si>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</si>
  <si>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</si>
  <si>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</si>
  <si>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</si>
  <si>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</si>
  <si>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</si>
  <si>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</si>
  <si>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</si>
  <si>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</si>
  <si>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</si>
  <si>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</si>
  <si>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</si>
  <si>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</si>
  <si>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</si>
  <si>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</si>
  <si>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</si>
  <si>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</si>
  <si>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</si>
  <si>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</si>
  <si>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</si>
  <si>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</si>
  <si>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</si>
  <si>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</si>
  <si>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</si>
  <si>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</si>
  <si>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</si>
  <si>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</si>
  <si>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</si>
  <si>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</si>
  <si>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</si>
  <si>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</si>
  <si>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</si>
  <si>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</si>
  <si>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</si>
  <si>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</si>
  <si>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</si>
  <si>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</si>
  <si>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</si>
  <si>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</si>
  <si>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</si>
  <si>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</si>
  <si>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</si>
  <si>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</si>
  <si>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</si>
  <si>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</si>
  <si>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</si>
  <si>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</si>
  <si>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</si>
  <si>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</si>
  <si>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</si>
  <si>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</si>
  <si>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</si>
  <si>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</si>
  <si>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</si>
  <si>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</si>
  <si>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</si>
  <si>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</si>
  <si>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</si>
  <si>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</si>
  <si>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</si>
  <si>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</si>
  <si>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</si>
  <si>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</si>
  <si>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</si>
  <si>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</si>
  <si>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</si>
  <si>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</si>
  <si>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</si>
  <si>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</si>
  <si>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</si>
  <si>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</si>
  <si>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</si>
  <si>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</si>
  <si>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</si>
  <si>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</si>
  <si>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</si>
  <si>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</si>
  <si>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</si>
  <si>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</si>
  <si>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</si>
  <si>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</si>
  <si>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</si>
  <si>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</si>
  <si>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</si>
  <si>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</si>
  <si>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</si>
  <si>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</si>
  <si>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</si>
  <si>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</si>
  <si>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</si>
  <si>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</si>
  <si>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</si>
  <si>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</si>
  <si>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</si>
  <si>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</si>
  <si>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</si>
  <si>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</si>
  <si>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</si>
  <si>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</si>
  <si>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</si>
  <si>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</si>
  <si>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</si>
  <si>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</si>
  <si>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</si>
  <si>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</si>
  <si>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</si>
  <si>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</si>
  <si>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</si>
  <si>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</si>
  <si>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</si>
  <si>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</si>
  <si>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</si>
  <si>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</si>
  <si>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</si>
  <si>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</si>
  <si>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</si>
  <si>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</si>
  <si>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</si>
  <si>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</si>
  <si>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</si>
  <si>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</si>
  <si>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</si>
  <si>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</si>
  <si>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</si>
  <si>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</si>
  <si>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</si>
  <si>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</si>
  <si>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</si>
  <si>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</si>
  <si>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</si>
  <si>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</si>
  <si>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</si>
  <si>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</si>
  <si>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</si>
  <si>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</si>
  <si>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</si>
  <si>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</si>
  <si>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</si>
  <si>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</si>
  <si>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</si>
  <si>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</si>
  <si>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</si>
  <si>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</si>
  <si>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</si>
  <si>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</si>
  <si>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</si>
  <si>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</si>
  <si>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</si>
  <si>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</si>
  <si>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</si>
  <si>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</si>
  <si>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</si>
  <si>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</si>
  <si>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</si>
  <si>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</si>
  <si>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</si>
  <si>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</si>
  <si>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</si>
  <si>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</si>
  <si>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</si>
  <si>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</si>
  <si>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</si>
  <si>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</si>
  <si>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</si>
  <si>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</si>
  <si>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</si>
  <si>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</si>
  <si>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</si>
  <si>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</si>
  <si>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</si>
  <si>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</si>
  <si>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</si>
  <si>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</si>
  <si>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</si>
  <si>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</si>
  <si>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</si>
  <si>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</si>
  <si>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</si>
  <si>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</si>
  <si>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</si>
  <si>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</si>
  <si>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</si>
  <si>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</si>
  <si>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</si>
  <si>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</si>
  <si>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</si>
  <si>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</si>
  <si>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</si>
  <si>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</si>
  <si>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</si>
  <si>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</si>
  <si>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</si>
  <si>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</si>
  <si>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</si>
  <si>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</si>
  <si>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</si>
  <si>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</si>
  <si>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</si>
  <si>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</si>
  <si>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</si>
  <si>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</si>
  <si>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</si>
  <si>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</si>
  <si>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</si>
  <si>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</si>
  <si>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</si>
  <si>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</si>
  <si>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</si>
  <si>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</si>
  <si>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</si>
  <si>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</si>
  <si>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</si>
  <si>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</si>
  <si>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</si>
  <si>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</si>
  <si>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</si>
  <si>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</si>
  <si>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</si>
  <si>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</si>
  <si>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</si>
  <si>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</si>
  <si>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</si>
  <si>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</si>
  <si>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</si>
  <si>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</si>
  <si>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</si>
  <si>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</si>
  <si>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</si>
  <si>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</si>
  <si>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</si>
  <si>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</si>
  <si>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</si>
  <si>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</si>
  <si>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</si>
  <si>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</si>
  <si>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</si>
  <si>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</si>
  <si>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</si>
  <si>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</si>
  <si>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</si>
  <si>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</si>
  <si>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</si>
  <si>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</si>
  <si>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</si>
  <si>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</si>
  <si>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</si>
  <si>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</si>
  <si>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</si>
  <si>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</si>
  <si>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</si>
  <si>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</si>
  <si>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</si>
  <si>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</si>
  <si>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</si>
  <si>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</si>
  <si>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</si>
  <si>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</si>
  <si>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</si>
  <si>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</si>
  <si>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</si>
  <si>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</si>
  <si>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</si>
  <si>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</si>
  <si>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</si>
  <si>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</si>
  <si>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</si>
  <si>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</si>
  <si>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</si>
  <si>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</si>
  <si>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</si>
  <si>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</si>
  <si>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</si>
  <si>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</si>
  <si>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</si>
  <si>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</si>
  <si>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</si>
  <si>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</si>
  <si>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</si>
  <si>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</si>
  <si>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</si>
  <si>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</si>
  <si>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</si>
  <si>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</si>
  <si>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</si>
  <si>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</si>
  <si>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</si>
  <si>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</si>
  <si>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</si>
  <si>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</si>
  <si>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</si>
  <si>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</si>
  <si>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</si>
  <si>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</si>
  <si>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</si>
  <si>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</si>
  <si>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</si>
  <si>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</si>
  <si>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</si>
  <si>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</si>
  <si>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</si>
  <si>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</si>
  <si>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</si>
  <si>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</si>
  <si>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</si>
  <si>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</si>
  <si>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</si>
  <si>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</si>
  <si>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</si>
  <si>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</si>
  <si>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</si>
  <si>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</si>
  <si>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</si>
  <si>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</si>
  <si>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</si>
  <si>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</si>
  <si>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</si>
  <si>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</si>
  <si>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</si>
  <si>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</si>
  <si>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</si>
  <si>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</si>
  <si>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</si>
  <si>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</si>
  <si>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</si>
  <si>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</si>
  <si>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</si>
  <si>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</si>
  <si>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</si>
  <si>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</si>
  <si>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</si>
  <si>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</si>
  <si>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</si>
  <si>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</si>
  <si>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</si>
  <si>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</si>
  <si>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</si>
  <si>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</si>
  <si>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</si>
  <si>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</si>
  <si>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</si>
  <si>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</si>
  <si>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</si>
  <si>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</si>
  <si>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</si>
  <si>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</si>
  <si>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</si>
  <si>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</si>
  <si>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</si>
  <si>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</si>
  <si>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</si>
  <si>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</si>
  <si>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</si>
  <si>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</si>
  <si>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</si>
  <si>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</si>
  <si>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</si>
  <si>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</si>
  <si>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</si>
  <si>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</si>
  <si>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</si>
  <si>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</si>
  <si>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</si>
  <si>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</si>
  <si>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</si>
  <si>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</si>
  <si>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</si>
  <si>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</si>
  <si>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</si>
  <si>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</si>
  <si>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</si>
  <si>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</si>
  <si>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</si>
  <si>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</si>
  <si>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</si>
  <si>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</si>
  <si>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</si>
  <si>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</si>
  <si>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</si>
  <si>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</si>
  <si>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</si>
  <si>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</si>
  <si>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</si>
  <si>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</si>
  <si>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</si>
  <si>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</si>
  <si>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</si>
  <si>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</si>
  <si>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</si>
  <si>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</si>
  <si>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</si>
  <si>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</si>
  <si>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</si>
  <si>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</si>
  <si>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</si>
  <si>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</si>
  <si>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</si>
  <si>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</si>
  <si>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</si>
  <si>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</si>
  <si>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</si>
  <si>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</si>
  <si>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</si>
  <si>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</si>
  <si>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</si>
  <si>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</si>
  <si>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</si>
  <si>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</si>
  <si>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</si>
  <si>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</si>
  <si>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</si>
  <si>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</si>
  <si>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</si>
  <si>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</si>
  <si>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</si>
  <si>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</si>
  <si>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</si>
  <si>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</si>
  <si>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</si>
  <si>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</si>
  <si>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</si>
  <si>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</si>
  <si>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</si>
  <si>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</si>
  <si>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</si>
  <si>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</si>
  <si>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</si>
  <si>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</si>
  <si>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</si>
  <si>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</si>
  <si>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</si>
  <si>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</si>
  <si>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</si>
  <si>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</si>
  <si>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</si>
  <si>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</si>
  <si>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</si>
  <si>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</si>
  <si>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</si>
  <si>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</si>
  <si>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</si>
  <si>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</si>
  <si>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</si>
  <si>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</si>
  <si>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</si>
  <si>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</si>
  <si>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</si>
  <si>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</si>
  <si>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</si>
  <si>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</si>
  <si>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</si>
  <si>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</si>
  <si>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</si>
  <si>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</si>
  <si>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</si>
  <si>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</si>
  <si>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</si>
  <si>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</si>
  <si>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</si>
  <si>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</si>
  <si>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</si>
  <si>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</si>
  <si>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</si>
  <si>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</si>
  <si>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</si>
  <si>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</si>
  <si>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</si>
  <si>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</si>
  <si>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</si>
  <si>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</si>
  <si>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</si>
  <si>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</si>
  <si>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</si>
  <si>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</si>
  <si>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</si>
  <si>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</si>
  <si>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</si>
  <si>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</si>
  <si>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</si>
  <si>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</si>
  <si>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</si>
  <si>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</si>
  <si>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</si>
  <si>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</si>
  <si>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</si>
  <si>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</si>
  <si>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</si>
  <si>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</si>
  <si>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</si>
  <si>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</si>
  <si>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</si>
  <si>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</si>
  <si>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</si>
  <si>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</si>
  <si>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</si>
  <si>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</si>
  <si>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</si>
  <si>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</si>
  <si>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</si>
  <si>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</si>
  <si>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</si>
  <si>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</si>
  <si>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</si>
  <si>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</si>
  <si>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</si>
  <si>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</si>
  <si>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</si>
  <si>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</si>
  <si>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</si>
  <si>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</si>
  <si>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</si>
  <si>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</si>
  <si>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</si>
  <si>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</si>
  <si>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</si>
  <si>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</si>
  <si>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</si>
  <si>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</si>
  <si>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</si>
  <si>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</si>
  <si>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</si>
  <si>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</si>
  <si>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</si>
  <si>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</si>
  <si>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</si>
  <si>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</si>
  <si>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</si>
  <si>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</si>
  <si>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</si>
  <si>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</si>
  <si>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</si>
  <si>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</si>
  <si>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</si>
  <si>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</si>
  <si>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</si>
  <si>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</si>
  <si>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</si>
  <si>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</si>
  <si>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</si>
  <si>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</si>
  <si>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</si>
  <si>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</si>
  <si>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</si>
  <si>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</si>
  <si>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</si>
  <si>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</si>
  <si>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</si>
  <si>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</si>
  <si>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</si>
  <si>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</si>
  <si>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</si>
  <si>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</si>
  <si>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</si>
  <si>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</si>
  <si>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</si>
  <si>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</si>
  <si>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</si>
  <si>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</si>
  <si>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</si>
  <si>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</si>
  <si>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</si>
  <si>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</si>
  <si>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</si>
  <si>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</si>
  <si>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</si>
  <si>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</si>
  <si>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</si>
  <si>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</si>
  <si>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</si>
  <si>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</si>
  <si>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</si>
  <si>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</si>
  <si>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</si>
  <si>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</si>
  <si>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</si>
  <si>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</si>
  <si>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</si>
  <si>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</si>
  <si>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</si>
  <si>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</si>
  <si>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</si>
  <si>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</si>
  <si>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</si>
  <si>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</si>
  <si>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</si>
  <si>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</si>
  <si>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</si>
  <si>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</si>
  <si>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</si>
  <si>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</si>
  <si>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</si>
  <si>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</si>
  <si>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</si>
  <si>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</si>
  <si>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</si>
  <si>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</si>
  <si>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</si>
  <si>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</si>
  <si>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</si>
  <si>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</si>
  <si>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</si>
  <si>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</si>
  <si>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</si>
  <si>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</si>
  <si>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</si>
  <si>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</si>
  <si>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</si>
  <si>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</si>
  <si>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</si>
  <si>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</si>
  <si>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</si>
  <si>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</si>
  <si>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</si>
  <si>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</si>
  <si>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</si>
  <si>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</si>
  <si>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</si>
  <si>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</si>
  <si>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</si>
  <si>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</si>
  <si>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</si>
  <si>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</si>
  <si>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</si>
  <si>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</si>
  <si>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</si>
  <si>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</si>
  <si>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</si>
  <si>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</si>
  <si>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</si>
  <si>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</si>
  <si>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</si>
  <si>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</si>
  <si>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</si>
  <si>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</si>
  <si>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</si>
  <si>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</si>
  <si>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</si>
  <si>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</si>
  <si>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</si>
  <si>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</si>
  <si>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</si>
  <si>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</si>
  <si>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</si>
  <si>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</si>
  <si>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</si>
  <si>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</si>
  <si>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</si>
  <si>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</si>
  <si>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</si>
  <si>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</si>
  <si>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</si>
  <si>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</si>
  <si>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</si>
  <si>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</si>
  <si>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</si>
  <si>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</si>
  <si>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</si>
  <si>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</si>
  <si>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</si>
  <si>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</si>
  <si>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</si>
  <si>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</si>
  <si>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</si>
  <si>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</si>
  <si>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</si>
  <si>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</si>
  <si>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</si>
  <si>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</si>
  <si>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</si>
  <si>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</si>
  <si>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</si>
  <si>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</si>
  <si>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</si>
  <si>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</si>
  <si>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</si>
  <si>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</si>
  <si>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</si>
  <si>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</si>
  <si>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</si>
  <si>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</si>
  <si>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</si>
  <si>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</si>
  <si>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</si>
  <si>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</si>
  <si>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</si>
  <si>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</si>
  <si>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</si>
  <si>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</si>
  <si>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</si>
  <si>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</si>
  <si>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</si>
  <si>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</si>
  <si>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</si>
  <si>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</si>
  <si>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</si>
  <si>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</si>
  <si>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</si>
  <si>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</si>
  <si>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</si>
  <si>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2194 SVEUČILIŠTE U RIJECI - FAKULTET ZA MENADŽMENT U TURIZMU I UGOSTITELJSTVU</t>
  </si>
  <si>
    <t>A679072.025</t>
  </si>
  <si>
    <t>A679072.024</t>
  </si>
  <si>
    <t>A679072.026</t>
  </si>
  <si>
    <t>A679072.027</t>
  </si>
  <si>
    <t>Opatija, 20.9.2019.</t>
  </si>
  <si>
    <t>Klaudija Šegota-Cuculić</t>
  </si>
  <si>
    <t>ksegota@fthm.hr</t>
  </si>
  <si>
    <t>INTERREG ADRIAQUANET - 2019.-2021., Sveučilište u Udinama</t>
  </si>
  <si>
    <t>RIVIERA4SEASONS, 2017.-2019., Općina Piran</t>
  </si>
  <si>
    <t>ERASMUS+ TEACHING - razvoj web programa za edukacije, FMTU Opatija, 2017.-2020. - Fachschule Burgeland, Austrija</t>
  </si>
  <si>
    <t>INTERREG MISTSKI PARK 2018-2021., Općina Hrpelje-Kozina, Slovenija</t>
  </si>
  <si>
    <t xml:space="preserve">ERASMUS+ TEACHING - , FMTU Opatija, 2017.-2020. </t>
  </si>
  <si>
    <t>FOST INNO  - sustav poticanja inovacija u jadransko jonskoj regiji</t>
  </si>
  <si>
    <t>A679072.028</t>
  </si>
  <si>
    <t>ERASMUS+ FOODBIZ - razvoj gastro turizma</t>
  </si>
  <si>
    <t>A679072.029</t>
  </si>
  <si>
    <t>EU ZERO WASTE Adriatic net for events and festivals</t>
  </si>
  <si>
    <t>A679072.030</t>
  </si>
  <si>
    <t xml:space="preserve">ERASMUS+ TEACHING2030 - , FMTU Opatija, 2017.-2020. </t>
  </si>
  <si>
    <t>Općina Hrpelje Kozina, Slo</t>
  </si>
  <si>
    <t>INTERREG SLO-HR MITSKI PARK, FMTU-Kozina</t>
  </si>
  <si>
    <t>INTERREG ITA-HR ADRIAAQUANET,Sv. Udine</t>
  </si>
  <si>
    <t>Fachfochschule Burgenland, Austrija</t>
  </si>
  <si>
    <t xml:space="preserve">Unapređenje nastavnih vještina  korištenjem </t>
  </si>
  <si>
    <t>on line alata/obuka na web-u u cBook formatu</t>
  </si>
  <si>
    <t>Očuvanje i valorizoranje</t>
  </si>
  <si>
    <t>2019</t>
  </si>
  <si>
    <t>2021</t>
  </si>
  <si>
    <t>2018</t>
  </si>
  <si>
    <t>2017</t>
  </si>
  <si>
    <t>2020</t>
  </si>
  <si>
    <t>2022</t>
  </si>
  <si>
    <t xml:space="preserve">mitskog krajolika Mošćeničke </t>
  </si>
  <si>
    <t xml:space="preserve"> Drage i Hrpelje-Kozina </t>
  </si>
  <si>
    <t>Sveučilište u Udinama</t>
  </si>
  <si>
    <t xml:space="preserve">Razvoj rješenja za </t>
  </si>
  <si>
    <t>poticanje marikulturnog</t>
  </si>
  <si>
    <t>razvoja u Italiji i Hrvatskoj</t>
  </si>
  <si>
    <t>Procjena nutritivne vrijednosti</t>
  </si>
  <si>
    <t>riba, gospodarenje otpadom..</t>
  </si>
  <si>
    <t>(Natječaj Min.gospodarstva)</t>
  </si>
  <si>
    <t>(OPKK 2014.-2020.)</t>
  </si>
  <si>
    <t xml:space="preserve"> CEKOM Podrška razvoju centara kompetencija </t>
  </si>
  <si>
    <t xml:space="preserve">RI SMART d.o.o. </t>
  </si>
  <si>
    <t>Povećanje aktivnosti istra</t>
  </si>
  <si>
    <t xml:space="preserve">živanja i razvoja poslovnog </t>
  </si>
  <si>
    <t>sektora, stvaranje povolj-</t>
  </si>
  <si>
    <t>nog inovacijskog  okruženja</t>
  </si>
  <si>
    <t>Inovativni animacijski program</t>
  </si>
  <si>
    <t>Mitskog parka, veća tur.ponuda</t>
  </si>
  <si>
    <t>OP Učinkoviti ljudski potencijali 2014.-2020.</t>
  </si>
  <si>
    <t>Izvrsnost i učinkovitost</t>
  </si>
  <si>
    <t>u visokom obrazovanju u</t>
  </si>
  <si>
    <t>polju ekonomije</t>
  </si>
  <si>
    <t>Ekonomski fakultet Split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</si>
</sst>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6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  <font>
      <sz val="8"/>
      <color rgb="FFFF0000"/>
      <name val="Arial"/>
      <family val="2"/>
    </font>
    <font>
      <sz val="8"/>
      <color theme="4" tint="-0.499984740745262"/>
      <name val="Arial"/>
      <family val="2"/>
    </font>
    <font>
      <b/>
      <sz val="10"/>
      <color rgb="FFFF0000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98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6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7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7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7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6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7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7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8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4" fontId="0" fillId="0" borderId="0" xfId="0" applyNumberFormat="1" applyProtection="1">
      <protection locked="0"/>
    </xf>
    <xf numFmtId="169" fontId="65" fillId="9" borderId="1" xfId="16" quotePrefix="1" applyNumberFormat="1" applyFont="1" applyAlignment="1">
      <alignment horizontal="left" vertical="center" indent="5" justifyLastLine="1"/>
    </xf>
    <xf numFmtId="0" fontId="65" fillId="9" borderId="1" xfId="16" quotePrefix="1" applyFont="1">
      <alignment horizontal="left" vertical="center" indent="1" justifyLastLine="1"/>
    </xf>
    <xf numFmtId="169" fontId="65" fillId="0" borderId="1" xfId="16" quotePrefix="1" applyNumberFormat="1" applyFont="1" applyFill="1" applyAlignment="1" applyProtection="1">
      <alignment horizontal="left" vertical="center" indent="5" justifyLastLine="1"/>
      <protection locked="0"/>
    </xf>
    <xf numFmtId="0" fontId="63" fillId="52" borderId="1" xfId="16" quotePrefix="1" applyFont="1" applyFill="1" applyProtection="1">
      <alignment horizontal="left" vertical="center" indent="1" justifyLastLine="1"/>
      <protection locked="0"/>
    </xf>
    <xf numFmtId="169" fontId="66" fillId="0" borderId="1" xfId="16" quotePrefix="1" applyNumberFormat="1" applyFont="1" applyFill="1" applyAlignment="1">
      <alignment horizontal="left" vertical="center" indent="5" justifyLastLine="1"/>
    </xf>
    <xf numFmtId="0" fontId="66" fillId="52" borderId="1" xfId="16" quotePrefix="1" applyFont="1" applyFill="1">
      <alignment horizontal="left" vertical="center" indent="1" justifyLastLine="1"/>
    </xf>
    <xf numFmtId="14" fontId="24" fillId="0" borderId="1" xfId="18" quotePrefix="1" applyNumberFormat="1" applyFont="1" applyFill="1" applyProtection="1">
      <alignment horizontal="right" vertical="center"/>
      <protection locked="0"/>
    </xf>
    <xf numFmtId="0" fontId="63" fillId="53" borderId="1" xfId="19" quotePrefix="1" applyNumberFormat="1" applyFont="1" applyFill="1" applyBorder="1" applyProtection="1">
      <alignment horizontal="left" vertical="center" indent="1" justifyLastLine="1"/>
    </xf>
    <xf numFmtId="0" fontId="63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63" fillId="53" borderId="1" xfId="19" quotePrefix="1" applyNumberFormat="1" applyFont="1" applyFill="1" applyProtection="1">
      <alignment horizontal="left" vertical="center" indent="1" justifyLastLine="1"/>
    </xf>
    <xf numFmtId="0" fontId="63" fillId="0" borderId="1" xfId="18" applyNumberFormat="1" applyFont="1" applyFill="1" applyAlignment="1" applyProtection="1">
      <alignment horizontal="center" vertical="center"/>
      <protection locked="0"/>
    </xf>
    <xf numFmtId="3" fontId="63" fillId="0" borderId="1" xfId="18" applyNumberFormat="1" applyFont="1" applyFill="1" applyProtection="1">
      <alignment horizontal="right" vertical="center"/>
      <protection locked="0"/>
    </xf>
    <xf numFmtId="0" fontId="62" fillId="0" borderId="0" xfId="0" applyFont="1" applyProtection="1"/>
    <xf numFmtId="0" fontId="67" fillId="0" borderId="6" xfId="5" applyFont="1" applyFill="1" applyBorder="1" applyAlignment="1" applyProtection="1">
      <alignment horizontal="left" vertical="center"/>
    </xf>
    <xf numFmtId="0" fontId="62" fillId="0" borderId="0" xfId="0" applyFont="1" applyFill="1" applyBorder="1" applyProtection="1"/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7" fillId="0" borderId="40" xfId="0" applyFont="1" applyBorder="1"/>
    <xf numFmtId="0" fontId="57" fillId="0" borderId="40" xfId="0" applyFont="1" applyBorder="1" applyProtection="1"/>
    <xf numFmtId="0" fontId="59" fillId="0" borderId="0" xfId="2" applyNumberFormat="1" applyFont="1" applyFill="1" applyBorder="1" applyAlignment="1" applyProtection="1">
      <alignment horizontal="center" vertical="center" wrapText="1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3" sqref="C3:E3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68" t="s">
        <v>1665</v>
      </c>
      <c r="D3" s="269"/>
      <c r="E3" s="270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71" t="s">
        <v>1670</v>
      </c>
      <c r="D4" s="272"/>
      <c r="E4" s="273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71" t="s">
        <v>1671</v>
      </c>
      <c r="D5" s="272"/>
      <c r="E5" s="273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71">
        <v>51294708</v>
      </c>
      <c r="D6" s="272"/>
      <c r="E6" s="273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71" t="s">
        <v>1672</v>
      </c>
      <c r="D7" s="272"/>
      <c r="E7" s="273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76" t="s">
        <v>842</v>
      </c>
      <c r="C9" s="275"/>
      <c r="D9" s="275"/>
      <c r="E9" s="275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76" t="s">
        <v>3</v>
      </c>
      <c r="C10" s="275"/>
      <c r="D10" s="275"/>
      <c r="E10" s="275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74"/>
      <c r="C11" s="275"/>
      <c r="D11" s="275"/>
      <c r="E11" s="275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43166300</v>
      </c>
      <c r="D14" s="173">
        <f>+D15+D16</f>
        <v>35637000</v>
      </c>
      <c r="E14" s="173">
        <f>+E15+E16</f>
        <v>35488000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43166300</v>
      </c>
      <c r="D15" s="176">
        <f>'PLAN PRIHODA I PRIMITAKA '!C62</f>
        <v>35637000</v>
      </c>
      <c r="E15" s="176">
        <f>'PLAN PRIHODA I PRIMITAKA '!C98</f>
        <v>35488000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42873300</v>
      </c>
      <c r="D17" s="180">
        <f>+D18+D19</f>
        <v>35353000</v>
      </c>
      <c r="E17" s="180">
        <f>+E18+E19</f>
        <v>35243000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34890800</v>
      </c>
      <c r="D18" s="182">
        <f>'PLAN RASHODA I IZDATAKA'!C72</f>
        <v>34506000</v>
      </c>
      <c r="E18" s="182">
        <f>'PLAN RASHODA I IZDATAKA'!C92</f>
        <v>34274000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7982500</v>
      </c>
      <c r="D19" s="182">
        <f>'PLAN RASHODA I IZDATAKA'!C80</f>
        <v>847000</v>
      </c>
      <c r="E19" s="182">
        <f>'PLAN RASHODA I IZDATAKA'!C100</f>
        <v>969000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293000</v>
      </c>
      <c r="D20" s="173">
        <f>+D14-D17</f>
        <v>284000</v>
      </c>
      <c r="E20" s="173">
        <f>+E14-E17</f>
        <v>245000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74"/>
      <c r="C21" s="275"/>
      <c r="D21" s="275"/>
      <c r="E21" s="275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14182000</v>
      </c>
      <c r="D23" s="181">
        <f>'PLAN PRIHODA I PRIMITAKA '!C41</f>
        <v>14475000</v>
      </c>
      <c r="E23" s="181">
        <f>'PLAN PRIHODA I PRIMITAKA '!C77</f>
        <v>14759000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-14475000</v>
      </c>
      <c r="D24" s="185">
        <f>'PLAN PRIHODA I PRIMITAKA '!C43</f>
        <v>-14759000</v>
      </c>
      <c r="E24" s="186">
        <f>'PLAN PRIHODA I PRIMITAKA '!C79</f>
        <v>-15004000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74"/>
      <c r="C25" s="275"/>
      <c r="D25" s="275"/>
      <c r="E25" s="275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74"/>
      <c r="C30" s="275"/>
      <c r="D30" s="275"/>
      <c r="E30" s="275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I9" sqref="I9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77" t="s">
        <v>812</v>
      </c>
      <c r="B1" s="277"/>
      <c r="C1" s="277"/>
      <c r="D1" s="277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f>2012100+20541700</f>
        <v>22553800</v>
      </c>
      <c r="H3" s="198">
        <f>20997000+2057000</f>
        <v>23054000</v>
      </c>
      <c r="I3" s="198">
        <f>21191000+2057000</f>
        <v>23248000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51</v>
      </c>
      <c r="D4" s="140" t="str">
        <f t="shared" si="1"/>
        <v>Pomoći EU</v>
      </c>
      <c r="E4" s="153">
        <v>632311700</v>
      </c>
      <c r="F4" s="141" t="str">
        <f t="shared" ref="F4:F66" si="2">IFERROR(VLOOKUP(E4,$R$6:$U$73,2,FALSE),"")</f>
        <v>Tekuće pomoći od institucija i tijela EU - ostalo</v>
      </c>
      <c r="G4" s="198">
        <v>716000</v>
      </c>
      <c r="H4" s="198">
        <v>261000</v>
      </c>
      <c r="I4" s="198">
        <v>0</v>
      </c>
      <c r="K4" s="144" t="str">
        <f t="shared" ref="K4:K67" si="3">LEFT(E4,3)</f>
        <v>632</v>
      </c>
      <c r="L4" s="144" t="str">
        <f t="shared" ref="L4:L67" si="4">LEFT(E4,2)</f>
        <v>63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52</v>
      </c>
      <c r="D5" s="140" t="str">
        <f t="shared" si="1"/>
        <v>Ostale pomoći</v>
      </c>
      <c r="E5" s="153">
        <v>6391</v>
      </c>
      <c r="F5" s="141" t="str">
        <f t="shared" si="2"/>
        <v>Tekući prijenosi između proračunskih korisnika istog proračuna</v>
      </c>
      <c r="G5" s="198">
        <f>60000+160000+19000</f>
        <v>239000</v>
      </c>
      <c r="H5" s="198">
        <f>+G5</f>
        <v>239000</v>
      </c>
      <c r="I5" s="198">
        <f>+H5</f>
        <v>239000</v>
      </c>
      <c r="K5" s="144" t="str">
        <f t="shared" si="3"/>
        <v>639</v>
      </c>
      <c r="L5" s="144" t="str">
        <f t="shared" si="4"/>
        <v>63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52</v>
      </c>
      <c r="D6" s="140" t="str">
        <f t="shared" si="1"/>
        <v>Ostale pomoći</v>
      </c>
      <c r="E6" s="153">
        <v>6392</v>
      </c>
      <c r="F6" s="141" t="str">
        <f t="shared" si="2"/>
        <v>Kapitalni prijenosi između proračunskih korisnika istog proračuna</v>
      </c>
      <c r="G6" s="198">
        <v>442500</v>
      </c>
      <c r="H6" s="198">
        <v>0</v>
      </c>
      <c r="I6" s="198">
        <v>0</v>
      </c>
      <c r="K6" s="144" t="str">
        <f t="shared" si="3"/>
        <v>639</v>
      </c>
      <c r="L6" s="144" t="str">
        <f t="shared" si="4"/>
        <v>63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31</v>
      </c>
      <c r="D7" s="140" t="str">
        <f t="shared" si="1"/>
        <v>Vlastiti prihodi</v>
      </c>
      <c r="E7" s="153">
        <v>6615</v>
      </c>
      <c r="F7" s="141" t="str">
        <f t="shared" si="2"/>
        <v>Prihodi od pruženih usluga</v>
      </c>
      <c r="G7" s="198">
        <v>2100000</v>
      </c>
      <c r="H7" s="198">
        <v>2200000</v>
      </c>
      <c r="I7" s="198">
        <v>2300000</v>
      </c>
      <c r="K7" s="144" t="str">
        <f t="shared" si="3"/>
        <v>661</v>
      </c>
      <c r="L7" s="144" t="str">
        <f t="shared" si="4"/>
        <v>66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43</v>
      </c>
      <c r="D8" s="140" t="str">
        <f t="shared" si="1"/>
        <v>Ostali prihodi za posebne namjene</v>
      </c>
      <c r="E8" s="153">
        <v>65264</v>
      </c>
      <c r="F8" s="141" t="str">
        <f t="shared" si="2"/>
        <v>Sufinanciranje cijene usluge, participacije i slično</v>
      </c>
      <c r="G8" s="198">
        <v>16000000</v>
      </c>
      <c r="H8" s="198">
        <v>8900000</v>
      </c>
      <c r="I8" s="198">
        <v>8900000</v>
      </c>
      <c r="K8" s="144" t="str">
        <f t="shared" si="3"/>
        <v>652</v>
      </c>
      <c r="L8" s="144" t="str">
        <f t="shared" si="4"/>
        <v>65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52</v>
      </c>
      <c r="D9" s="140" t="str">
        <f t="shared" si="1"/>
        <v>Ostale pomoći</v>
      </c>
      <c r="E9" s="153">
        <v>6392</v>
      </c>
      <c r="F9" s="141" t="str">
        <f t="shared" si="2"/>
        <v>Kapitalni prijenosi između proračunskih korisnika istog proračuna</v>
      </c>
      <c r="G9" s="198">
        <v>158000</v>
      </c>
      <c r="H9" s="198">
        <v>103000</v>
      </c>
      <c r="I9" s="198">
        <v>63000</v>
      </c>
      <c r="K9" s="144" t="str">
        <f t="shared" si="3"/>
        <v>639</v>
      </c>
      <c r="L9" s="144" t="str">
        <f t="shared" si="4"/>
        <v>63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52</v>
      </c>
      <c r="D10" s="140" t="str">
        <f t="shared" si="1"/>
        <v>Ostale pomoći</v>
      </c>
      <c r="E10" s="153">
        <v>6381</v>
      </c>
      <c r="F10" s="141" t="str">
        <f t="shared" si="2"/>
        <v>Tekuće pomoći temeljem prijenosa EU sredstava</v>
      </c>
      <c r="G10" s="198">
        <f>957000-235000</f>
        <v>722000</v>
      </c>
      <c r="H10" s="198">
        <v>880000</v>
      </c>
      <c r="I10" s="198">
        <v>738000</v>
      </c>
      <c r="K10" s="144" t="str">
        <f t="shared" si="3"/>
        <v>638</v>
      </c>
      <c r="L10" s="144" t="str">
        <f t="shared" si="4"/>
        <v>63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52</v>
      </c>
      <c r="D11" s="140" t="str">
        <f t="shared" si="1"/>
        <v>Ostale pomoći</v>
      </c>
      <c r="E11" s="153">
        <v>6382</v>
      </c>
      <c r="F11" s="141" t="str">
        <f t="shared" si="2"/>
        <v>Kapitalne pomoći temeljem prijenosa EU sredstava​</v>
      </c>
      <c r="G11" s="198">
        <v>235000</v>
      </c>
      <c r="H11" s="198">
        <v>0</v>
      </c>
      <c r="I11" s="198">
        <v>0</v>
      </c>
      <c r="K11" s="144" t="str">
        <f t="shared" si="3"/>
        <v>638</v>
      </c>
      <c r="L11" s="144" t="str">
        <f t="shared" si="4"/>
        <v>63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/>
      </c>
      <c r="B12" s="142" t="str">
        <f>IF(E12="","",VLOOKUP('Opći dio'!$C$3,'Opći dio'!$L$6:$U$135,9,FALSE))</f>
        <v/>
      </c>
      <c r="C12" s="202" t="str">
        <f t="shared" si="0"/>
        <v/>
      </c>
      <c r="D12" s="140" t="str">
        <f t="shared" si="1"/>
        <v/>
      </c>
      <c r="E12" s="153"/>
      <c r="F12" s="141" t="str">
        <f t="shared" si="2"/>
        <v/>
      </c>
      <c r="G12" s="198"/>
      <c r="H12" s="198"/>
      <c r="I12" s="198"/>
      <c r="K12" s="144" t="str">
        <f t="shared" si="3"/>
        <v/>
      </c>
      <c r="L12" s="144" t="str">
        <f t="shared" si="4"/>
        <v/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2"/>
  <sheetViews>
    <sheetView showGridLines="0" topLeftCell="B1" zoomScale="110" zoomScaleNormal="110" workbookViewId="0">
      <pane ySplit="2" topLeftCell="A10" activePane="bottomLeft" state="frozen"/>
      <selection pane="bottomLeft" activeCell="H103" sqref="H103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78" t="s">
        <v>811</v>
      </c>
      <c r="B1" s="278"/>
      <c r="C1" s="278"/>
      <c r="D1" s="278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56" si="0">IFERROR(VLOOKUP(E3,$R$5:$T$129,2,FALSE),"")</f>
        <v>Plaće za redovan rad</v>
      </c>
      <c r="G3" s="201" t="s">
        <v>77</v>
      </c>
      <c r="H3" s="149" t="str">
        <f>IFERROR(VLOOKUP(G3,$X$6:$Y$50,2,FALSE),"")</f>
        <v>REDOVNA DJELATNOST SVEUČILIŠTA U RIJECI</v>
      </c>
      <c r="I3" s="198">
        <v>16807300</v>
      </c>
      <c r="J3" s="198">
        <v>17177000</v>
      </c>
      <c r="K3" s="198">
        <v>17335000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201" t="s">
        <v>77</v>
      </c>
      <c r="H4" s="149" t="str">
        <f t="shared" ref="H4:H67" si="2">IFERROR(VLOOKUP(G4,$X$6:$Y$50,2,FALSE),"")</f>
        <v>REDOVNA DJELATNOST SVEUČILIŠTA U RIJECI</v>
      </c>
      <c r="I4" s="198">
        <v>431300</v>
      </c>
      <c r="J4" s="198">
        <v>441000</v>
      </c>
      <c r="K4" s="198">
        <v>445000</v>
      </c>
      <c r="M4" s="144" t="str">
        <f t="shared" ref="M4:M56" si="3">LEFT(E4,3)</f>
        <v>312</v>
      </c>
      <c r="N4" s="144" t="str">
        <f t="shared" ref="N4:N56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201" t="s">
        <v>77</v>
      </c>
      <c r="H5" s="149" t="str">
        <f t="shared" si="2"/>
        <v>REDOVNA DJELATNOST SVEUČILIŠTA U RIJECI</v>
      </c>
      <c r="I5" s="198">
        <v>2774400</v>
      </c>
      <c r="J5" s="198">
        <v>2835000</v>
      </c>
      <c r="K5" s="198">
        <v>2860000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77</v>
      </c>
      <c r="H6" s="149" t="str">
        <f t="shared" si="2"/>
        <v>REDOVNA DJELATNOST SVEUČILIŠTA U RIJECI</v>
      </c>
      <c r="I6" s="198">
        <v>469900</v>
      </c>
      <c r="J6" s="198">
        <v>485000</v>
      </c>
      <c r="K6" s="198">
        <v>492000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3221</v>
      </c>
      <c r="F7" s="149" t="str">
        <f t="shared" si="0"/>
        <v>Uredski materijal i ostali materijalni rashodi</v>
      </c>
      <c r="G7" s="201" t="s">
        <v>864</v>
      </c>
      <c r="H7" s="149" t="str">
        <f t="shared" si="2"/>
        <v>PROGRAMSKO FINANCIRANJE JAVNIH VISOKIH UČILIŠTA</v>
      </c>
      <c r="I7" s="198">
        <v>282000</v>
      </c>
      <c r="J7" s="198">
        <v>288000</v>
      </c>
      <c r="K7" s="198">
        <v>291000</v>
      </c>
      <c r="M7" s="144" t="str">
        <f t="shared" si="3"/>
        <v>322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3223</v>
      </c>
      <c r="F8" s="149" t="str">
        <f t="shared" si="0"/>
        <v>Energija</v>
      </c>
      <c r="G8" s="201" t="s">
        <v>864</v>
      </c>
      <c r="H8" s="149" t="str">
        <f t="shared" si="2"/>
        <v>PROGRAMSKO FINANCIRANJE JAVNIH VISOKIH UČILIŠTA</v>
      </c>
      <c r="I8" s="198">
        <f>176000+98000</f>
        <v>274000</v>
      </c>
      <c r="J8" s="198">
        <v>280000</v>
      </c>
      <c r="K8" s="198">
        <v>283000</v>
      </c>
      <c r="M8" s="144" t="str">
        <f t="shared" si="3"/>
        <v>322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11</v>
      </c>
      <c r="D9" s="149" t="str">
        <f t="shared" si="1"/>
        <v>Opći prihodi i primici</v>
      </c>
      <c r="E9" s="154">
        <v>3224</v>
      </c>
      <c r="F9" s="149" t="str">
        <f t="shared" si="0"/>
        <v>Materijal i dijelovi za tekuće i investicijsko održavanje</v>
      </c>
      <c r="G9" s="201" t="s">
        <v>864</v>
      </c>
      <c r="H9" s="149" t="str">
        <f t="shared" si="2"/>
        <v>PROGRAMSKO FINANCIRANJE JAVNIH VISOKIH UČILIŠTA</v>
      </c>
      <c r="I9" s="198">
        <v>30000</v>
      </c>
      <c r="J9" s="198">
        <v>31000</v>
      </c>
      <c r="K9" s="198">
        <v>31000</v>
      </c>
      <c r="M9" s="144" t="str">
        <f t="shared" si="3"/>
        <v>322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1"/>
        <v>Opći prihodi i primici</v>
      </c>
      <c r="E10" s="154">
        <v>3227</v>
      </c>
      <c r="F10" s="149" t="str">
        <f t="shared" si="0"/>
        <v>Službena, radna i zaštitna odjeća i obuća</v>
      </c>
      <c r="G10" s="201" t="s">
        <v>864</v>
      </c>
      <c r="H10" s="149" t="str">
        <f t="shared" si="2"/>
        <v>PROGRAMSKO FINANCIRANJE JAVNIH VISOKIH UČILIŠTA</v>
      </c>
      <c r="I10" s="198">
        <v>4000</v>
      </c>
      <c r="J10" s="198">
        <f t="shared" ref="J10:K10" si="7">+I10</f>
        <v>4000</v>
      </c>
      <c r="K10" s="198">
        <f t="shared" si="7"/>
        <v>4000</v>
      </c>
      <c r="M10" s="144" t="str">
        <f t="shared" si="3"/>
        <v>322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8">LEFT(R10,2)</f>
        <v>31</v>
      </c>
      <c r="V10" s="212" t="str">
        <f t="shared" ref="V10:V41" si="9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si="1"/>
        <v>Opći prihodi i primici</v>
      </c>
      <c r="E11" s="154">
        <v>3231</v>
      </c>
      <c r="F11" s="149" t="str">
        <f t="shared" si="0"/>
        <v>Usluge telefona, pošte i prijevoza</v>
      </c>
      <c r="G11" s="201" t="s">
        <v>864</v>
      </c>
      <c r="H11" s="149" t="str">
        <f t="shared" si="2"/>
        <v>PROGRAMSKO FINANCIRANJE JAVNIH VISOKIH UČILIŠTA</v>
      </c>
      <c r="I11" s="198">
        <f>4500+50000+65000+53000+1500</f>
        <v>174000</v>
      </c>
      <c r="J11" s="198">
        <v>178000</v>
      </c>
      <c r="K11" s="198">
        <v>180000</v>
      </c>
      <c r="M11" s="144" t="str">
        <f t="shared" si="3"/>
        <v>323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8"/>
        <v>32</v>
      </c>
      <c r="V11" s="144" t="str">
        <f t="shared" si="9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"/>
        <v>Opći prihodi i primici</v>
      </c>
      <c r="E12" s="154">
        <v>3233</v>
      </c>
      <c r="F12" s="149" t="str">
        <f t="shared" si="0"/>
        <v>Usluge promidžbe i informiranja</v>
      </c>
      <c r="G12" s="201" t="s">
        <v>864</v>
      </c>
      <c r="H12" s="149" t="str">
        <f t="shared" si="2"/>
        <v>PROGRAMSKO FINANCIRANJE JAVNIH VISOKIH UČILIŠTA</v>
      </c>
      <c r="I12" s="198">
        <v>50000</v>
      </c>
      <c r="J12" s="198">
        <f t="shared" ref="J12" si="10">+I12*1.02</f>
        <v>51000</v>
      </c>
      <c r="K12" s="198">
        <v>54000</v>
      </c>
      <c r="M12" s="144" t="str">
        <f t="shared" si="3"/>
        <v>323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8"/>
        <v>32</v>
      </c>
      <c r="V12" s="144" t="str">
        <f t="shared" si="9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3234</v>
      </c>
      <c r="F13" s="149" t="str">
        <f t="shared" si="0"/>
        <v>Komunalne usluge</v>
      </c>
      <c r="G13" s="201" t="s">
        <v>864</v>
      </c>
      <c r="H13" s="149" t="str">
        <f t="shared" si="2"/>
        <v>PROGRAMSKO FINANCIRANJE JAVNIH VISOKIH UČILIŠTA</v>
      </c>
      <c r="I13" s="198">
        <v>173000</v>
      </c>
      <c r="J13" s="198">
        <v>177000</v>
      </c>
      <c r="K13" s="198">
        <v>178000</v>
      </c>
      <c r="M13" s="144" t="str">
        <f t="shared" si="3"/>
        <v>323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8"/>
        <v>32</v>
      </c>
      <c r="V13" s="144" t="str">
        <f t="shared" si="9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3235</v>
      </c>
      <c r="F14" s="149" t="str">
        <f t="shared" si="0"/>
        <v>Zakupnine i najamnine</v>
      </c>
      <c r="G14" s="201" t="s">
        <v>864</v>
      </c>
      <c r="H14" s="149" t="str">
        <f t="shared" si="2"/>
        <v>PROGRAMSKO FINANCIRANJE JAVNIH VISOKIH UČILIŠTA</v>
      </c>
      <c r="I14" s="198">
        <v>90000</v>
      </c>
      <c r="J14" s="198">
        <v>92000</v>
      </c>
      <c r="K14" s="198">
        <v>93000</v>
      </c>
      <c r="M14" s="144" t="str">
        <f t="shared" si="3"/>
        <v>323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8"/>
        <v>32</v>
      </c>
      <c r="V14" s="144" t="str">
        <f t="shared" si="9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3236</v>
      </c>
      <c r="F15" s="149" t="str">
        <f t="shared" si="0"/>
        <v>Zdravstvene i veterinarske usluge</v>
      </c>
      <c r="G15" s="201" t="s">
        <v>77</v>
      </c>
      <c r="H15" s="149" t="str">
        <f t="shared" si="2"/>
        <v>REDOVNA DJELATNOST SVEUČILIŠTA U RIJECI</v>
      </c>
      <c r="I15" s="198">
        <v>15000</v>
      </c>
      <c r="J15" s="198">
        <f>+I15</f>
        <v>15000</v>
      </c>
      <c r="K15" s="198">
        <v>15000</v>
      </c>
      <c r="M15" s="144" t="str">
        <f t="shared" si="3"/>
        <v>323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8"/>
        <v>32</v>
      </c>
      <c r="V15" s="144" t="str">
        <f t="shared" si="9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"/>
        <v>Opći prihodi i primici</v>
      </c>
      <c r="E16" s="154">
        <v>3237</v>
      </c>
      <c r="F16" s="149" t="str">
        <f t="shared" si="0"/>
        <v>Intelektualne i osobne usluge</v>
      </c>
      <c r="G16" s="201" t="s">
        <v>864</v>
      </c>
      <c r="H16" s="149" t="str">
        <f t="shared" si="2"/>
        <v>PROGRAMSKO FINANCIRANJE JAVNIH VISOKIH UČILIŠTA</v>
      </c>
      <c r="I16" s="198">
        <v>126000</v>
      </c>
      <c r="J16" s="198">
        <v>129000</v>
      </c>
      <c r="K16" s="198">
        <v>130000</v>
      </c>
      <c r="M16" s="144" t="str">
        <f t="shared" si="3"/>
        <v>323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8"/>
        <v>32</v>
      </c>
      <c r="V16" s="144" t="str">
        <f t="shared" si="9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"/>
        <v>Opći prihodi i primici</v>
      </c>
      <c r="E17" s="154">
        <v>3238</v>
      </c>
      <c r="F17" s="149" t="str">
        <f t="shared" si="0"/>
        <v>Računalne usluge</v>
      </c>
      <c r="G17" s="201" t="s">
        <v>864</v>
      </c>
      <c r="H17" s="149" t="str">
        <f t="shared" si="2"/>
        <v>PROGRAMSKO FINANCIRANJE JAVNIH VISOKIH UČILIŠTA</v>
      </c>
      <c r="I17" s="198">
        <v>245000</v>
      </c>
      <c r="J17" s="198">
        <v>250000</v>
      </c>
      <c r="K17" s="198">
        <v>250000</v>
      </c>
      <c r="M17" s="144" t="str">
        <f t="shared" si="3"/>
        <v>323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8"/>
        <v>32</v>
      </c>
      <c r="V17" s="144" t="str">
        <f t="shared" si="9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3239</v>
      </c>
      <c r="F18" s="149" t="str">
        <f t="shared" si="0"/>
        <v>Ostale usluge</v>
      </c>
      <c r="G18" s="201" t="s">
        <v>864</v>
      </c>
      <c r="H18" s="149" t="str">
        <f t="shared" si="2"/>
        <v>PROGRAMSKO FINANCIRANJE JAVNIH VISOKIH UČILIŠTA</v>
      </c>
      <c r="I18" s="198">
        <f>97000+264100</f>
        <v>361100</v>
      </c>
      <c r="J18" s="198">
        <v>370000</v>
      </c>
      <c r="K18" s="198">
        <v>354000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8"/>
        <v>32</v>
      </c>
      <c r="V18" s="144" t="str">
        <f t="shared" si="9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"/>
        <v>Opći prihodi i primici</v>
      </c>
      <c r="E19" s="154">
        <v>3292</v>
      </c>
      <c r="F19" s="149" t="str">
        <f t="shared" si="0"/>
        <v>Premije osiguranja</v>
      </c>
      <c r="G19" s="201" t="s">
        <v>864</v>
      </c>
      <c r="H19" s="149" t="str">
        <f t="shared" si="2"/>
        <v>PROGRAMSKO FINANCIRANJE JAVNIH VISOKIH UČILIŠTA</v>
      </c>
      <c r="I19" s="198">
        <f>24000+11000</f>
        <v>35000</v>
      </c>
      <c r="J19" s="198">
        <v>36000</v>
      </c>
      <c r="K19" s="198">
        <v>36000</v>
      </c>
      <c r="M19" s="144" t="str">
        <f t="shared" si="3"/>
        <v>329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8"/>
        <v>32</v>
      </c>
      <c r="V19" s="144" t="str">
        <f t="shared" si="9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"/>
        <v>Opći prihodi i primici</v>
      </c>
      <c r="E20" s="154">
        <v>3295</v>
      </c>
      <c r="F20" s="149" t="str">
        <f t="shared" si="0"/>
        <v>Pristojbe i naknade</v>
      </c>
      <c r="G20" s="201" t="s">
        <v>77</v>
      </c>
      <c r="H20" s="149" t="str">
        <f t="shared" si="2"/>
        <v>REDOVNA DJELATNOST SVEUČILIŠTA U RIJECI</v>
      </c>
      <c r="I20" s="198">
        <v>43800</v>
      </c>
      <c r="J20" s="198">
        <v>44000</v>
      </c>
      <c r="K20" s="198">
        <v>44000</v>
      </c>
      <c r="M20" s="144" t="str">
        <f t="shared" si="3"/>
        <v>329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8"/>
        <v>32</v>
      </c>
      <c r="V20" s="144" t="str">
        <f t="shared" si="9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11</v>
      </c>
      <c r="D21" s="149" t="str">
        <f t="shared" si="1"/>
        <v>Opći prihodi i primici</v>
      </c>
      <c r="E21" s="154">
        <v>3299</v>
      </c>
      <c r="F21" s="149" t="str">
        <f t="shared" si="0"/>
        <v>Ostali nespomenuti rashodi poslovanja</v>
      </c>
      <c r="G21" s="201" t="s">
        <v>864</v>
      </c>
      <c r="H21" s="149" t="str">
        <f t="shared" si="2"/>
        <v>PROGRAMSKO FINANCIRANJE JAVNIH VISOKIH UČILIŠTA</v>
      </c>
      <c r="I21" s="198">
        <v>20000</v>
      </c>
      <c r="J21" s="198">
        <v>20000</v>
      </c>
      <c r="K21" s="198">
        <v>21000</v>
      </c>
      <c r="M21" s="144" t="str">
        <f t="shared" si="3"/>
        <v>329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8"/>
        <v>32</v>
      </c>
      <c r="V21" s="144" t="str">
        <f t="shared" si="9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"/>
        <v>Opći prihodi i primici</v>
      </c>
      <c r="E22" s="154">
        <v>3431</v>
      </c>
      <c r="F22" s="149" t="str">
        <f t="shared" si="0"/>
        <v>Bankarske usluge i usluge platnog prometa</v>
      </c>
      <c r="G22" s="201" t="s">
        <v>864</v>
      </c>
      <c r="H22" s="149" t="str">
        <f t="shared" si="2"/>
        <v>PROGRAMSKO FINANCIRANJE JAVNIH VISOKIH UČILIŠTA</v>
      </c>
      <c r="I22" s="198">
        <v>38000</v>
      </c>
      <c r="J22" s="198">
        <v>39000</v>
      </c>
      <c r="K22" s="198">
        <v>39000</v>
      </c>
      <c r="M22" s="144" t="str">
        <f t="shared" si="3"/>
        <v>343</v>
      </c>
      <c r="N22" s="144" t="str">
        <f t="shared" si="4"/>
        <v>34</v>
      </c>
      <c r="R22" s="144">
        <v>3231</v>
      </c>
      <c r="S22" s="144" t="s">
        <v>121</v>
      </c>
      <c r="U22" s="144" t="str">
        <f t="shared" si="8"/>
        <v>32</v>
      </c>
      <c r="V22" s="144" t="str">
        <f t="shared" si="9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11</v>
      </c>
      <c r="D23" s="149" t="str">
        <f t="shared" si="1"/>
        <v>Opći prihodi i primici</v>
      </c>
      <c r="E23" s="154">
        <v>4241</v>
      </c>
      <c r="F23" s="149" t="str">
        <f t="shared" si="0"/>
        <v>Knjige</v>
      </c>
      <c r="G23" s="201" t="s">
        <v>864</v>
      </c>
      <c r="H23" s="149" t="str">
        <f t="shared" si="2"/>
        <v>PROGRAMSKO FINANCIRANJE JAVNIH VISOKIH UČILIŠTA</v>
      </c>
      <c r="I23" s="198">
        <v>110000</v>
      </c>
      <c r="J23" s="198">
        <v>112000</v>
      </c>
      <c r="K23" s="198">
        <v>113000</v>
      </c>
      <c r="M23" s="144" t="str">
        <f t="shared" si="3"/>
        <v>424</v>
      </c>
      <c r="N23" s="144" t="str">
        <f t="shared" si="4"/>
        <v>42</v>
      </c>
      <c r="R23" s="144">
        <v>3232</v>
      </c>
      <c r="S23" s="144" t="s">
        <v>108</v>
      </c>
      <c r="U23" s="144" t="str">
        <f t="shared" si="8"/>
        <v>32</v>
      </c>
      <c r="V23" s="144" t="str">
        <f t="shared" si="9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/>
      </c>
      <c r="B24" s="148" t="str">
        <f>IF(C24="","",VLOOKUP('Opći dio'!$C$3,'Opći dio'!$L$6:$U$135,9,FALSE))</f>
        <v/>
      </c>
      <c r="C24" s="154"/>
      <c r="D24" s="149" t="str">
        <f t="shared" si="1"/>
        <v/>
      </c>
      <c r="E24" s="154"/>
      <c r="F24" s="149" t="str">
        <f t="shared" si="0"/>
        <v/>
      </c>
      <c r="G24" s="201"/>
      <c r="H24" s="149" t="str">
        <f t="shared" si="2"/>
        <v/>
      </c>
      <c r="I24" s="198"/>
      <c r="J24" s="198"/>
      <c r="K24" s="198"/>
      <c r="M24" s="144" t="str">
        <f t="shared" si="3"/>
        <v/>
      </c>
      <c r="N24" s="144" t="str">
        <f t="shared" si="4"/>
        <v/>
      </c>
      <c r="R24" s="144">
        <v>3233</v>
      </c>
      <c r="S24" s="144" t="s">
        <v>96</v>
      </c>
      <c r="U24" s="144" t="str">
        <f t="shared" si="8"/>
        <v>32</v>
      </c>
      <c r="V24" s="144" t="str">
        <f t="shared" si="9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31</v>
      </c>
      <c r="D25" s="149" t="str">
        <f t="shared" si="1"/>
        <v>Vlastiti prihodi</v>
      </c>
      <c r="E25" s="154">
        <v>3111</v>
      </c>
      <c r="F25" s="149" t="str">
        <f t="shared" si="0"/>
        <v>Plaće za redovan rad</v>
      </c>
      <c r="G25" s="201" t="s">
        <v>194</v>
      </c>
      <c r="H25" s="149" t="str">
        <f t="shared" si="2"/>
        <v>REDOVNA DJELATNOST SVEUČILIŠTA U RIJECI (IZ EVIDENCIJSKIH PRIHODA)</v>
      </c>
      <c r="I25" s="198">
        <v>250000</v>
      </c>
      <c r="J25" s="198">
        <v>357000</v>
      </c>
      <c r="K25" s="198">
        <v>357000</v>
      </c>
      <c r="M25" s="144" t="str">
        <f t="shared" si="3"/>
        <v>311</v>
      </c>
      <c r="N25" s="144" t="str">
        <f t="shared" si="4"/>
        <v>31</v>
      </c>
      <c r="R25" s="144">
        <v>3234</v>
      </c>
      <c r="S25" s="144" t="s">
        <v>109</v>
      </c>
      <c r="U25" s="144" t="str">
        <f t="shared" si="8"/>
        <v>32</v>
      </c>
      <c r="V25" s="144" t="str">
        <f t="shared" si="9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31</v>
      </c>
      <c r="D26" s="149" t="str">
        <f t="shared" si="1"/>
        <v>Vlastiti prihodi</v>
      </c>
      <c r="E26" s="154">
        <v>3121</v>
      </c>
      <c r="F26" s="149" t="str">
        <f t="shared" si="0"/>
        <v>Ostali rashodi za zaposlene</v>
      </c>
      <c r="G26" s="201" t="s">
        <v>194</v>
      </c>
      <c r="H26" s="149" t="str">
        <f t="shared" si="2"/>
        <v>REDOVNA DJELATNOST SVEUČILIŠTA U RIJECI (IZ EVIDENCIJSKIH PRIHODA)</v>
      </c>
      <c r="I26" s="198">
        <v>10000</v>
      </c>
      <c r="J26" s="198">
        <f>+I26*1.2</f>
        <v>12000</v>
      </c>
      <c r="K26" s="198">
        <v>14000</v>
      </c>
      <c r="M26" s="144" t="str">
        <f t="shared" si="3"/>
        <v>312</v>
      </c>
      <c r="N26" s="144" t="str">
        <f t="shared" si="4"/>
        <v>31</v>
      </c>
      <c r="R26" s="144">
        <v>3235</v>
      </c>
      <c r="S26" s="144" t="s">
        <v>129</v>
      </c>
      <c r="U26" s="144" t="str">
        <f t="shared" si="8"/>
        <v>32</v>
      </c>
      <c r="V26" s="144" t="str">
        <f t="shared" si="9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31</v>
      </c>
      <c r="D27" s="149" t="str">
        <f t="shared" si="1"/>
        <v>Vlastiti prihodi</v>
      </c>
      <c r="E27" s="154">
        <v>3132</v>
      </c>
      <c r="F27" s="149" t="str">
        <f t="shared" si="0"/>
        <v>Doprinosi za obvezno zdravstveno osiguranje</v>
      </c>
      <c r="G27" s="201" t="s">
        <v>194</v>
      </c>
      <c r="H27" s="149" t="str">
        <f t="shared" si="2"/>
        <v>REDOVNA DJELATNOST SVEUČILIŠTA U RIJECI (IZ EVIDENCIJSKIH PRIHODA)</v>
      </c>
      <c r="I27" s="198">
        <v>41000</v>
      </c>
      <c r="J27" s="198">
        <v>59000</v>
      </c>
      <c r="K27" s="198">
        <v>59000</v>
      </c>
      <c r="M27" s="144" t="str">
        <f t="shared" si="3"/>
        <v>313</v>
      </c>
      <c r="N27" s="144" t="str">
        <f t="shared" si="4"/>
        <v>31</v>
      </c>
      <c r="R27" s="144">
        <v>3236</v>
      </c>
      <c r="S27" s="144" t="s">
        <v>72</v>
      </c>
      <c r="U27" s="144" t="str">
        <f t="shared" si="8"/>
        <v>32</v>
      </c>
      <c r="V27" s="144" t="str">
        <f t="shared" si="9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31</v>
      </c>
      <c r="D28" s="149" t="str">
        <f t="shared" si="1"/>
        <v>Vlastiti prihodi</v>
      </c>
      <c r="E28" s="154">
        <v>3212</v>
      </c>
      <c r="F28" s="149" t="str">
        <f t="shared" si="0"/>
        <v>Naknade za prijevoz, za rad na terenu i odvojeni život</v>
      </c>
      <c r="G28" s="201" t="s">
        <v>194</v>
      </c>
      <c r="H28" s="149" t="str">
        <f t="shared" si="2"/>
        <v>REDOVNA DJELATNOST SVEUČILIŠTA U RIJECI (IZ EVIDENCIJSKIH PRIHODA)</v>
      </c>
      <c r="I28" s="198">
        <v>1000</v>
      </c>
      <c r="J28" s="198">
        <v>1000</v>
      </c>
      <c r="K28" s="198">
        <v>1000</v>
      </c>
      <c r="M28" s="144" t="str">
        <f t="shared" si="3"/>
        <v>321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8"/>
        <v>32</v>
      </c>
      <c r="V28" s="144" t="str">
        <f t="shared" si="9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31</v>
      </c>
      <c r="D29" s="149" t="str">
        <f t="shared" si="1"/>
        <v>Vlastiti prihodi</v>
      </c>
      <c r="E29" s="154">
        <v>3221</v>
      </c>
      <c r="F29" s="149" t="str">
        <f t="shared" si="0"/>
        <v>Uredski materijal i ostali materijalni rashodi</v>
      </c>
      <c r="G29" s="201" t="s">
        <v>194</v>
      </c>
      <c r="H29" s="149" t="str">
        <f t="shared" si="2"/>
        <v>REDOVNA DJELATNOST SVEUČILIŠTA U RIJECI (IZ EVIDENCIJSKIH PRIHODA)</v>
      </c>
      <c r="I29" s="198">
        <v>25000</v>
      </c>
      <c r="J29" s="198">
        <v>25000</v>
      </c>
      <c r="K29" s="198">
        <f>+J29</f>
        <v>25000</v>
      </c>
      <c r="M29" s="144" t="str">
        <f t="shared" si="3"/>
        <v>322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8"/>
        <v>32</v>
      </c>
      <c r="V29" s="144" t="str">
        <f t="shared" si="9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31</v>
      </c>
      <c r="D30" s="149" t="str">
        <f t="shared" si="1"/>
        <v>Vlastiti prihodi</v>
      </c>
      <c r="E30" s="154">
        <v>3222</v>
      </c>
      <c r="F30" s="149" t="str">
        <f t="shared" si="0"/>
        <v>Materijal i sirovine</v>
      </c>
      <c r="G30" s="201" t="s">
        <v>194</v>
      </c>
      <c r="H30" s="149" t="str">
        <f t="shared" si="2"/>
        <v>REDOVNA DJELATNOST SVEUČILIŠTA U RIJECI (IZ EVIDENCIJSKIH PRIHODA)</v>
      </c>
      <c r="I30" s="198">
        <v>81000</v>
      </c>
      <c r="J30" s="198">
        <v>82000</v>
      </c>
      <c r="K30" s="198">
        <v>84000</v>
      </c>
      <c r="M30" s="144" t="str">
        <f t="shared" si="3"/>
        <v>322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8"/>
        <v>32</v>
      </c>
      <c r="V30" s="144" t="str">
        <f t="shared" si="9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31</v>
      </c>
      <c r="D31" s="149" t="str">
        <f t="shared" si="1"/>
        <v>Vlastiti prihodi</v>
      </c>
      <c r="E31" s="154">
        <v>3223</v>
      </c>
      <c r="F31" s="149" t="str">
        <f t="shared" si="0"/>
        <v>Energija</v>
      </c>
      <c r="G31" s="201" t="s">
        <v>194</v>
      </c>
      <c r="H31" s="149" t="str">
        <f t="shared" si="2"/>
        <v>REDOVNA DJELATNOST SVEUČILIŠTA U RIJECI (IZ EVIDENCIJSKIH PRIHODA)</v>
      </c>
      <c r="I31" s="198">
        <v>1000</v>
      </c>
      <c r="J31" s="198">
        <f t="shared" ref="J31:K33" si="11">+I31</f>
        <v>1000</v>
      </c>
      <c r="K31" s="198">
        <f t="shared" si="11"/>
        <v>1000</v>
      </c>
      <c r="M31" s="144" t="str">
        <f t="shared" si="3"/>
        <v>322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8"/>
        <v>32</v>
      </c>
      <c r="V31" s="144" t="str">
        <f t="shared" si="9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31</v>
      </c>
      <c r="D32" s="149" t="str">
        <f t="shared" si="1"/>
        <v>Vlastiti prihodi</v>
      </c>
      <c r="E32" s="154">
        <v>3225</v>
      </c>
      <c r="F32" s="149" t="str">
        <f t="shared" si="0"/>
        <v>Sitni inventar i auto gume</v>
      </c>
      <c r="G32" s="201" t="s">
        <v>194</v>
      </c>
      <c r="H32" s="149" t="str">
        <f t="shared" si="2"/>
        <v>REDOVNA DJELATNOST SVEUČILIŠTA U RIJECI (IZ EVIDENCIJSKIH PRIHODA)</v>
      </c>
      <c r="I32" s="198">
        <v>15000</v>
      </c>
      <c r="J32" s="198">
        <f t="shared" si="11"/>
        <v>15000</v>
      </c>
      <c r="K32" s="198">
        <f t="shared" si="11"/>
        <v>15000</v>
      </c>
      <c r="M32" s="144" t="str">
        <f t="shared" si="3"/>
        <v>322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8"/>
        <v>32</v>
      </c>
      <c r="V32" s="144" t="str">
        <f t="shared" si="9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31</v>
      </c>
      <c r="D33" s="149" t="str">
        <f t="shared" si="1"/>
        <v>Vlastiti prihodi</v>
      </c>
      <c r="E33" s="154">
        <v>3231</v>
      </c>
      <c r="F33" s="149" t="str">
        <f t="shared" si="0"/>
        <v>Usluge telefona, pošte i prijevoza</v>
      </c>
      <c r="G33" s="201" t="s">
        <v>194</v>
      </c>
      <c r="H33" s="149" t="str">
        <f t="shared" si="2"/>
        <v>REDOVNA DJELATNOST SVEUČILIŠTA U RIJECI (IZ EVIDENCIJSKIH PRIHODA)</v>
      </c>
      <c r="I33" s="198">
        <v>1000</v>
      </c>
      <c r="J33" s="198">
        <f t="shared" si="11"/>
        <v>1000</v>
      </c>
      <c r="K33" s="198">
        <f t="shared" si="11"/>
        <v>1000</v>
      </c>
      <c r="M33" s="144" t="str">
        <f t="shared" si="3"/>
        <v>323</v>
      </c>
      <c r="N33" s="144" t="str">
        <f t="shared" si="4"/>
        <v>32</v>
      </c>
      <c r="R33" s="144">
        <v>3292</v>
      </c>
      <c r="S33" s="144" t="s">
        <v>93</v>
      </c>
      <c r="U33" s="144" t="str">
        <f t="shared" si="8"/>
        <v>32</v>
      </c>
      <c r="V33" s="144" t="str">
        <f t="shared" si="9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31</v>
      </c>
      <c r="D34" s="149" t="str">
        <f t="shared" si="1"/>
        <v>Vlastiti prihodi</v>
      </c>
      <c r="E34" s="154">
        <v>3233</v>
      </c>
      <c r="F34" s="149" t="str">
        <f t="shared" si="0"/>
        <v>Usluge promidžbe i informiranja</v>
      </c>
      <c r="G34" s="201" t="s">
        <v>194</v>
      </c>
      <c r="H34" s="149" t="str">
        <f t="shared" si="2"/>
        <v>REDOVNA DJELATNOST SVEUČILIŠTA U RIJECI (IZ EVIDENCIJSKIH PRIHODA)</v>
      </c>
      <c r="I34" s="198">
        <v>72000</v>
      </c>
      <c r="J34" s="198">
        <v>73000</v>
      </c>
      <c r="K34" s="198">
        <v>75000</v>
      </c>
      <c r="M34" s="144" t="str">
        <f t="shared" si="3"/>
        <v>323</v>
      </c>
      <c r="N34" s="144" t="str">
        <f t="shared" si="4"/>
        <v>32</v>
      </c>
      <c r="R34" s="144">
        <v>3293</v>
      </c>
      <c r="S34" s="144" t="s">
        <v>103</v>
      </c>
      <c r="U34" s="144" t="str">
        <f t="shared" si="8"/>
        <v>32</v>
      </c>
      <c r="V34" s="144" t="str">
        <f t="shared" si="9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31</v>
      </c>
      <c r="D35" s="149" t="str">
        <f t="shared" si="1"/>
        <v>Vlastiti prihodi</v>
      </c>
      <c r="E35" s="154">
        <v>3234</v>
      </c>
      <c r="F35" s="149" t="str">
        <f t="shared" si="0"/>
        <v>Komunalne usluge</v>
      </c>
      <c r="G35" s="201" t="s">
        <v>194</v>
      </c>
      <c r="H35" s="149" t="str">
        <f t="shared" si="2"/>
        <v>REDOVNA DJELATNOST SVEUČILIŠTA U RIJECI (IZ EVIDENCIJSKIH PRIHODA)</v>
      </c>
      <c r="I35" s="198">
        <v>1000</v>
      </c>
      <c r="J35" s="198">
        <v>1000</v>
      </c>
      <c r="K35" s="198">
        <v>1000</v>
      </c>
      <c r="M35" s="144" t="str">
        <f t="shared" si="3"/>
        <v>323</v>
      </c>
      <c r="N35" s="144" t="str">
        <f t="shared" si="4"/>
        <v>32</v>
      </c>
      <c r="R35" s="144">
        <v>3293</v>
      </c>
      <c r="S35" s="144" t="s">
        <v>151</v>
      </c>
      <c r="U35" s="144" t="str">
        <f t="shared" si="8"/>
        <v>32</v>
      </c>
      <c r="V35" s="144" t="str">
        <f t="shared" si="9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31</v>
      </c>
      <c r="D36" s="149" t="str">
        <f t="shared" si="1"/>
        <v>Vlastiti prihodi</v>
      </c>
      <c r="E36" s="154">
        <v>3235</v>
      </c>
      <c r="F36" s="149" t="str">
        <f t="shared" si="0"/>
        <v>Zakupnine i najamnine</v>
      </c>
      <c r="G36" s="201" t="s">
        <v>194</v>
      </c>
      <c r="H36" s="149" t="str">
        <f t="shared" si="2"/>
        <v>REDOVNA DJELATNOST SVEUČILIŠTA U RIJECI (IZ EVIDENCIJSKIH PRIHODA)</v>
      </c>
      <c r="I36" s="198">
        <f>25000+57000</f>
        <v>82000</v>
      </c>
      <c r="J36" s="198">
        <v>84000</v>
      </c>
      <c r="K36" s="198">
        <v>85000</v>
      </c>
      <c r="M36" s="144" t="str">
        <f t="shared" si="3"/>
        <v>323</v>
      </c>
      <c r="N36" s="144" t="str">
        <f t="shared" si="4"/>
        <v>32</v>
      </c>
      <c r="R36" s="144">
        <v>3294</v>
      </c>
      <c r="S36" s="144" t="s">
        <v>104</v>
      </c>
      <c r="U36" s="144" t="str">
        <f t="shared" si="8"/>
        <v>32</v>
      </c>
      <c r="V36" s="144" t="str">
        <f t="shared" si="9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31</v>
      </c>
      <c r="D37" s="149" t="str">
        <f t="shared" si="1"/>
        <v>Vlastiti prihodi</v>
      </c>
      <c r="E37" s="154">
        <v>3237</v>
      </c>
      <c r="F37" s="149" t="str">
        <f t="shared" si="0"/>
        <v>Intelektualne i osobne usluge</v>
      </c>
      <c r="G37" s="201" t="s">
        <v>194</v>
      </c>
      <c r="H37" s="149" t="str">
        <f t="shared" si="2"/>
        <v>REDOVNA DJELATNOST SVEUČILIŠTA U RIJECI (IZ EVIDENCIJSKIH PRIHODA)</v>
      </c>
      <c r="I37" s="198">
        <f>1225000+45000</f>
        <v>1270000</v>
      </c>
      <c r="J37" s="198">
        <f>+I37</f>
        <v>1270000</v>
      </c>
      <c r="K37" s="198">
        <f>+J37</f>
        <v>1270000</v>
      </c>
      <c r="M37" s="144" t="str">
        <f t="shared" si="3"/>
        <v>323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8"/>
        <v>32</v>
      </c>
      <c r="V37" s="144" t="str">
        <f t="shared" si="9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31</v>
      </c>
      <c r="D38" s="149" t="str">
        <f t="shared" si="1"/>
        <v>Vlastiti prihodi</v>
      </c>
      <c r="E38" s="154">
        <v>3238</v>
      </c>
      <c r="F38" s="149" t="str">
        <f t="shared" si="0"/>
        <v>Računalne usluge</v>
      </c>
      <c r="G38" s="201" t="s">
        <v>194</v>
      </c>
      <c r="H38" s="149" t="str">
        <f t="shared" si="2"/>
        <v>REDOVNA DJELATNOST SVEUČILIŠTA U RIJECI (IZ EVIDENCIJSKIH PRIHODA)</v>
      </c>
      <c r="I38" s="198">
        <v>12000</v>
      </c>
      <c r="J38" s="198">
        <f>+I38</f>
        <v>12000</v>
      </c>
      <c r="K38" s="198">
        <f>+J38</f>
        <v>12000</v>
      </c>
      <c r="M38" s="144" t="str">
        <f t="shared" si="3"/>
        <v>323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8"/>
        <v>32</v>
      </c>
      <c r="V38" s="144" t="str">
        <f t="shared" si="9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31</v>
      </c>
      <c r="D39" s="149" t="str">
        <f t="shared" si="1"/>
        <v>Vlastiti prihodi</v>
      </c>
      <c r="E39" s="154">
        <v>3239</v>
      </c>
      <c r="F39" s="149" t="str">
        <f t="shared" si="0"/>
        <v>Ostale usluge</v>
      </c>
      <c r="G39" s="201" t="s">
        <v>194</v>
      </c>
      <c r="H39" s="149" t="str">
        <f t="shared" si="2"/>
        <v>REDOVNA DJELATNOST SVEUČILIŠTA U RIJECI (IZ EVIDENCIJSKIH PRIHODA)</v>
      </c>
      <c r="I39" s="198">
        <v>118000</v>
      </c>
      <c r="J39" s="198">
        <v>121000</v>
      </c>
      <c r="K39" s="198">
        <v>124000</v>
      </c>
      <c r="M39" s="144" t="str">
        <f t="shared" si="3"/>
        <v>323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8"/>
        <v>32</v>
      </c>
      <c r="V39" s="144" t="str">
        <f t="shared" si="9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31</v>
      </c>
      <c r="D40" s="149" t="str">
        <f t="shared" si="1"/>
        <v>Vlastiti prihodi</v>
      </c>
      <c r="E40" s="154">
        <v>3293</v>
      </c>
      <c r="F40" s="149" t="str">
        <f t="shared" si="0"/>
        <v>Reprezentacija</v>
      </c>
      <c r="G40" s="201" t="s">
        <v>194</v>
      </c>
      <c r="H40" s="149" t="str">
        <f t="shared" si="2"/>
        <v>REDOVNA DJELATNOST SVEUČILIŠTA U RIJECI (IZ EVIDENCIJSKIH PRIHODA)</v>
      </c>
      <c r="I40" s="198">
        <v>13000</v>
      </c>
      <c r="J40" s="198">
        <f>+I40</f>
        <v>13000</v>
      </c>
      <c r="K40" s="198">
        <f>+J40</f>
        <v>13000</v>
      </c>
      <c r="M40" s="144" t="str">
        <f t="shared" si="3"/>
        <v>329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8"/>
        <v>34</v>
      </c>
      <c r="V40" s="144" t="str">
        <f t="shared" si="9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31</v>
      </c>
      <c r="D41" s="149" t="str">
        <f t="shared" si="1"/>
        <v>Vlastiti prihodi</v>
      </c>
      <c r="E41" s="154">
        <v>3294</v>
      </c>
      <c r="F41" s="149" t="str">
        <f t="shared" si="0"/>
        <v>Članarine i norme</v>
      </c>
      <c r="G41" s="201" t="s">
        <v>194</v>
      </c>
      <c r="H41" s="149" t="str">
        <f t="shared" si="2"/>
        <v>REDOVNA DJELATNOST SVEUČILIŠTA U RIJECI (IZ EVIDENCIJSKIH PRIHODA)</v>
      </c>
      <c r="I41" s="198">
        <v>4000</v>
      </c>
      <c r="J41" s="198">
        <v>4000</v>
      </c>
      <c r="K41" s="198">
        <v>4000</v>
      </c>
      <c r="M41" s="144" t="str">
        <f t="shared" si="3"/>
        <v>329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8"/>
        <v>34</v>
      </c>
      <c r="V41" s="144" t="str">
        <f t="shared" si="9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31</v>
      </c>
      <c r="D42" s="149" t="str">
        <f t="shared" si="1"/>
        <v>Vlastiti prihodi</v>
      </c>
      <c r="E42" s="154">
        <v>3299</v>
      </c>
      <c r="F42" s="149" t="str">
        <f t="shared" si="0"/>
        <v>Ostali nespomenuti rashodi poslovanja</v>
      </c>
      <c r="G42" s="201" t="s">
        <v>194</v>
      </c>
      <c r="H42" s="149" t="str">
        <f t="shared" si="2"/>
        <v>REDOVNA DJELATNOST SVEUČILIŠTA U RIJECI (IZ EVIDENCIJSKIH PRIHODA)</v>
      </c>
      <c r="I42" s="198">
        <v>40000</v>
      </c>
      <c r="J42" s="198">
        <v>41000</v>
      </c>
      <c r="K42" s="198">
        <v>42000</v>
      </c>
      <c r="M42" s="144" t="str">
        <f t="shared" si="3"/>
        <v>329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12">LEFT(R42,2)</f>
        <v>34</v>
      </c>
      <c r="V42" s="144" t="str">
        <f t="shared" ref="V42:V73" si="13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31</v>
      </c>
      <c r="D43" s="149" t="str">
        <f t="shared" si="1"/>
        <v>Vlastiti prihodi</v>
      </c>
      <c r="E43" s="154">
        <v>3431</v>
      </c>
      <c r="F43" s="149" t="str">
        <f t="shared" si="0"/>
        <v>Bankarske usluge i usluge platnog prometa</v>
      </c>
      <c r="G43" s="201" t="s">
        <v>194</v>
      </c>
      <c r="H43" s="149" t="str">
        <f t="shared" si="2"/>
        <v>REDOVNA DJELATNOST SVEUČILIŠTA U RIJECI (IZ EVIDENCIJSKIH PRIHODA)</v>
      </c>
      <c r="I43" s="198">
        <v>3000</v>
      </c>
      <c r="J43" s="198">
        <v>3000</v>
      </c>
      <c r="K43" s="198">
        <v>4000</v>
      </c>
      <c r="M43" s="144" t="str">
        <f t="shared" si="3"/>
        <v>343</v>
      </c>
      <c r="N43" s="144" t="str">
        <f t="shared" si="4"/>
        <v>34</v>
      </c>
      <c r="R43" s="144">
        <v>3427</v>
      </c>
      <c r="S43" s="144" t="s">
        <v>208</v>
      </c>
      <c r="U43" s="144" t="str">
        <f t="shared" si="12"/>
        <v>34</v>
      </c>
      <c r="V43" s="144" t="str">
        <f t="shared" si="13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31</v>
      </c>
      <c r="D44" s="149" t="str">
        <f t="shared" si="1"/>
        <v>Vlastiti prihodi</v>
      </c>
      <c r="E44" s="154">
        <v>3811</v>
      </c>
      <c r="F44" s="149" t="str">
        <f t="shared" si="0"/>
        <v>Tekuće donacije u novcu</v>
      </c>
      <c r="G44" s="201" t="s">
        <v>194</v>
      </c>
      <c r="H44" s="149" t="str">
        <f t="shared" si="2"/>
        <v>REDOVNA DJELATNOST SVEUČILIŠTA U RIJECI (IZ EVIDENCIJSKIH PRIHODA)</v>
      </c>
      <c r="I44" s="198">
        <v>10000</v>
      </c>
      <c r="J44" s="198">
        <v>10000</v>
      </c>
      <c r="K44" s="198">
        <v>10000</v>
      </c>
      <c r="M44" s="144" t="str">
        <f t="shared" si="3"/>
        <v>381</v>
      </c>
      <c r="N44" s="144" t="str">
        <f t="shared" si="4"/>
        <v>38</v>
      </c>
      <c r="R44" s="144">
        <v>3431</v>
      </c>
      <c r="S44" s="144" t="s">
        <v>101</v>
      </c>
      <c r="U44" s="144" t="str">
        <f t="shared" si="12"/>
        <v>34</v>
      </c>
      <c r="V44" s="144" t="str">
        <f t="shared" si="13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43</v>
      </c>
      <c r="D45" s="149" t="str">
        <f t="shared" si="1"/>
        <v>Ostali prihodi za posebne namjene</v>
      </c>
      <c r="E45" s="154">
        <v>3111</v>
      </c>
      <c r="F45" s="149" t="str">
        <f t="shared" si="0"/>
        <v>Plaće za redovan rad</v>
      </c>
      <c r="G45" s="201" t="s">
        <v>194</v>
      </c>
      <c r="H45" s="149" t="str">
        <f t="shared" si="2"/>
        <v>REDOVNA DJELATNOST SVEUČILIŠTA U RIJECI (IZ EVIDENCIJSKIH PRIHODA)</v>
      </c>
      <c r="I45" s="198">
        <v>3080000</v>
      </c>
      <c r="J45" s="198">
        <v>3200000</v>
      </c>
      <c r="K45" s="198">
        <v>3350000</v>
      </c>
      <c r="M45" s="144" t="str">
        <f t="shared" si="3"/>
        <v>311</v>
      </c>
      <c r="N45" s="144" t="str">
        <f t="shared" si="4"/>
        <v>31</v>
      </c>
      <c r="R45" s="144">
        <v>3432</v>
      </c>
      <c r="S45" s="144" t="s">
        <v>117</v>
      </c>
      <c r="U45" s="144" t="str">
        <f t="shared" si="12"/>
        <v>34</v>
      </c>
      <c r="V45" s="144" t="str">
        <f t="shared" si="13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43</v>
      </c>
      <c r="D46" s="149" t="str">
        <f t="shared" si="1"/>
        <v>Ostali prihodi za posebne namjene</v>
      </c>
      <c r="E46" s="154">
        <v>3121</v>
      </c>
      <c r="F46" s="149" t="str">
        <f t="shared" si="0"/>
        <v>Ostali rashodi za zaposlene</v>
      </c>
      <c r="G46" s="201" t="s">
        <v>194</v>
      </c>
      <c r="H46" s="149" t="str">
        <f t="shared" si="2"/>
        <v>REDOVNA DJELATNOST SVEUČILIŠTA U RIJECI (IZ EVIDENCIJSKIH PRIHODA)</v>
      </c>
      <c r="I46" s="198">
        <v>1050000</v>
      </c>
      <c r="J46" s="198">
        <v>1050000</v>
      </c>
      <c r="K46" s="198">
        <v>1050000</v>
      </c>
      <c r="M46" s="144" t="str">
        <f t="shared" si="3"/>
        <v>312</v>
      </c>
      <c r="N46" s="144" t="str">
        <f t="shared" si="4"/>
        <v>31</v>
      </c>
      <c r="R46" s="144">
        <v>3433</v>
      </c>
      <c r="S46" s="144" t="s">
        <v>156</v>
      </c>
      <c r="U46" s="144" t="str">
        <f t="shared" si="12"/>
        <v>34</v>
      </c>
      <c r="V46" s="144" t="str">
        <f t="shared" si="13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43</v>
      </c>
      <c r="D47" s="149" t="str">
        <f t="shared" si="1"/>
        <v>Ostali prihodi za posebne namjene</v>
      </c>
      <c r="E47" s="154">
        <v>3132</v>
      </c>
      <c r="F47" s="149" t="str">
        <f t="shared" si="0"/>
        <v>Doprinosi za obvezno zdravstveno osiguranje</v>
      </c>
      <c r="G47" s="201" t="s">
        <v>194</v>
      </c>
      <c r="H47" s="149" t="str">
        <f t="shared" si="2"/>
        <v>REDOVNA DJELATNOST SVEUČILIŠTA U RIJECI (IZ EVIDENCIJSKIH PRIHODA)</v>
      </c>
      <c r="I47" s="198">
        <v>509000</v>
      </c>
      <c r="J47" s="198">
        <v>528000</v>
      </c>
      <c r="K47" s="198">
        <v>553000</v>
      </c>
      <c r="M47" s="144" t="str">
        <f t="shared" si="3"/>
        <v>313</v>
      </c>
      <c r="N47" s="144" t="str">
        <f t="shared" si="4"/>
        <v>31</v>
      </c>
      <c r="R47" s="144">
        <v>3434</v>
      </c>
      <c r="S47" s="144" t="s">
        <v>86</v>
      </c>
      <c r="U47" s="144" t="str">
        <f t="shared" si="12"/>
        <v>34</v>
      </c>
      <c r="V47" s="144" t="str">
        <f t="shared" si="13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43</v>
      </c>
      <c r="D48" s="149" t="str">
        <f t="shared" si="1"/>
        <v>Ostali prihodi za posebne namjene</v>
      </c>
      <c r="E48" s="154">
        <v>3211</v>
      </c>
      <c r="F48" s="149" t="str">
        <f t="shared" si="0"/>
        <v>Službena putovanja</v>
      </c>
      <c r="G48" s="201" t="s">
        <v>194</v>
      </c>
      <c r="H48" s="149" t="str">
        <f t="shared" si="2"/>
        <v>REDOVNA DJELATNOST SVEUČILIŠTA U RIJECI (IZ EVIDENCIJSKIH PRIHODA)</v>
      </c>
      <c r="I48" s="198">
        <v>966000</v>
      </c>
      <c r="J48" s="198">
        <v>997000</v>
      </c>
      <c r="K48" s="198">
        <v>997000</v>
      </c>
      <c r="M48" s="144" t="str">
        <f t="shared" si="3"/>
        <v>321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12"/>
        <v>35</v>
      </c>
      <c r="V48" s="144" t="str">
        <f t="shared" si="13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43</v>
      </c>
      <c r="D49" s="149" t="str">
        <f t="shared" si="1"/>
        <v>Ostali prihodi za posebne namjene</v>
      </c>
      <c r="E49" s="154">
        <v>3212</v>
      </c>
      <c r="F49" s="149" t="str">
        <f t="shared" si="0"/>
        <v>Naknade za prijevoz, za rad na terenu i odvojeni život</v>
      </c>
      <c r="G49" s="201" t="s">
        <v>194</v>
      </c>
      <c r="H49" s="149" t="str">
        <f t="shared" si="2"/>
        <v>REDOVNA DJELATNOST SVEUČILIŠTA U RIJECI (IZ EVIDENCIJSKIH PRIHODA)</v>
      </c>
      <c r="I49" s="198">
        <v>78000</v>
      </c>
      <c r="J49" s="198">
        <v>78000</v>
      </c>
      <c r="K49" s="198">
        <v>78000</v>
      </c>
      <c r="M49" s="144" t="str">
        <f t="shared" si="3"/>
        <v>321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12"/>
        <v>35</v>
      </c>
      <c r="V49" s="144" t="str">
        <f t="shared" si="13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43</v>
      </c>
      <c r="D50" s="149" t="str">
        <f t="shared" si="1"/>
        <v>Ostali prihodi za posebne namjene</v>
      </c>
      <c r="E50" s="154">
        <v>3213</v>
      </c>
      <c r="F50" s="149" t="str">
        <f t="shared" si="0"/>
        <v>Stručno usavršavanje zaposlenika</v>
      </c>
      <c r="G50" s="201" t="s">
        <v>194</v>
      </c>
      <c r="H50" s="149" t="str">
        <f t="shared" si="2"/>
        <v>REDOVNA DJELATNOST SVEUČILIŠTA U RIJECI (IZ EVIDENCIJSKIH PRIHODA)</v>
      </c>
      <c r="I50" s="198">
        <v>195000</v>
      </c>
      <c r="J50" s="198">
        <v>195000</v>
      </c>
      <c r="K50" s="198">
        <f>+J50</f>
        <v>195000</v>
      </c>
      <c r="M50" s="144" t="str">
        <f t="shared" si="3"/>
        <v>321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12"/>
        <v>35</v>
      </c>
      <c r="V50" s="144" t="str">
        <f t="shared" si="13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43</v>
      </c>
      <c r="D51" s="149" t="str">
        <f t="shared" si="1"/>
        <v>Ostali prihodi za posebne namjene</v>
      </c>
      <c r="E51" s="154">
        <v>3221</v>
      </c>
      <c r="F51" s="149" t="str">
        <f t="shared" si="0"/>
        <v>Uredski materijal i ostali materijalni rashodi</v>
      </c>
      <c r="G51" s="201" t="s">
        <v>194</v>
      </c>
      <c r="H51" s="149" t="str">
        <f t="shared" si="2"/>
        <v>REDOVNA DJELATNOST SVEUČILIŠTA U RIJECI (IZ EVIDENCIJSKIH PRIHODA)</v>
      </c>
      <c r="I51" s="198">
        <v>263000</v>
      </c>
      <c r="J51" s="198">
        <v>271000</v>
      </c>
      <c r="K51" s="198">
        <f>+J51</f>
        <v>271000</v>
      </c>
      <c r="M51" s="144" t="str">
        <f t="shared" si="3"/>
        <v>322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12"/>
        <v>35</v>
      </c>
      <c r="V51" s="144" t="str">
        <f t="shared" si="13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43</v>
      </c>
      <c r="D52" s="149" t="str">
        <f t="shared" si="1"/>
        <v>Ostali prihodi za posebne namjene</v>
      </c>
      <c r="E52" s="154">
        <v>3222</v>
      </c>
      <c r="F52" s="149" t="str">
        <f t="shared" si="0"/>
        <v>Materijal i sirovine</v>
      </c>
      <c r="G52" s="201" t="s">
        <v>194</v>
      </c>
      <c r="H52" s="149" t="str">
        <f t="shared" si="2"/>
        <v>REDOVNA DJELATNOST SVEUČILIŠTA U RIJECI (IZ EVIDENCIJSKIH PRIHODA)</v>
      </c>
      <c r="I52" s="198">
        <v>2000</v>
      </c>
      <c r="J52" s="198">
        <v>2000</v>
      </c>
      <c r="K52" s="198">
        <v>2000</v>
      </c>
      <c r="M52" s="144" t="str">
        <f t="shared" si="3"/>
        <v>322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12"/>
        <v>36</v>
      </c>
      <c r="V52" s="144" t="str">
        <f t="shared" si="13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43</v>
      </c>
      <c r="D53" s="149" t="str">
        <f t="shared" si="1"/>
        <v>Ostali prihodi za posebne namjene</v>
      </c>
      <c r="E53" s="154">
        <v>3223</v>
      </c>
      <c r="F53" s="149" t="str">
        <f t="shared" si="0"/>
        <v>Energija</v>
      </c>
      <c r="G53" s="201" t="s">
        <v>194</v>
      </c>
      <c r="H53" s="149" t="str">
        <f t="shared" si="2"/>
        <v>REDOVNA DJELATNOST SVEUČILIŠTA U RIJECI (IZ EVIDENCIJSKIH PRIHODA)</v>
      </c>
      <c r="I53" s="198">
        <v>17000</v>
      </c>
      <c r="J53" s="198">
        <v>20000</v>
      </c>
      <c r="K53" s="198">
        <v>23000</v>
      </c>
      <c r="M53" s="144" t="str">
        <f t="shared" si="3"/>
        <v>322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12"/>
        <v>36</v>
      </c>
      <c r="V53" s="144" t="str">
        <f t="shared" si="13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43</v>
      </c>
      <c r="D54" s="149" t="str">
        <f t="shared" si="1"/>
        <v>Ostali prihodi za posebne namjene</v>
      </c>
      <c r="E54" s="154">
        <v>3224</v>
      </c>
      <c r="F54" s="149" t="str">
        <f t="shared" si="0"/>
        <v>Materijal i dijelovi za tekuće i investicijsko održavanje</v>
      </c>
      <c r="G54" s="201" t="s">
        <v>194</v>
      </c>
      <c r="H54" s="149" t="str">
        <f t="shared" si="2"/>
        <v>REDOVNA DJELATNOST SVEUČILIŠTA U RIJECI (IZ EVIDENCIJSKIH PRIHODA)</v>
      </c>
      <c r="I54" s="198">
        <v>15000</v>
      </c>
      <c r="J54" s="198">
        <v>15000</v>
      </c>
      <c r="K54" s="198">
        <v>15000</v>
      </c>
      <c r="M54" s="144" t="str">
        <f t="shared" si="3"/>
        <v>322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12"/>
        <v>36</v>
      </c>
      <c r="V54" s="144" t="str">
        <f t="shared" si="13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43</v>
      </c>
      <c r="D55" s="149" t="str">
        <f t="shared" si="1"/>
        <v>Ostali prihodi za posebne namjene</v>
      </c>
      <c r="E55" s="154">
        <v>3225</v>
      </c>
      <c r="F55" s="149" t="str">
        <f t="shared" si="0"/>
        <v>Sitni inventar i auto gume</v>
      </c>
      <c r="G55" s="201" t="s">
        <v>194</v>
      </c>
      <c r="H55" s="149" t="str">
        <f t="shared" si="2"/>
        <v>REDOVNA DJELATNOST SVEUČILIŠTA U RIJECI (IZ EVIDENCIJSKIH PRIHODA)</v>
      </c>
      <c r="I55" s="198">
        <v>50000</v>
      </c>
      <c r="J55" s="198">
        <v>50000</v>
      </c>
      <c r="K55" s="198">
        <v>50000</v>
      </c>
      <c r="M55" s="144" t="str">
        <f t="shared" si="3"/>
        <v>322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12"/>
        <v>36</v>
      </c>
      <c r="V55" s="144" t="str">
        <f t="shared" si="13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43</v>
      </c>
      <c r="D56" s="149" t="str">
        <f t="shared" si="1"/>
        <v>Ostali prihodi za posebne namjene</v>
      </c>
      <c r="E56" s="154">
        <v>3231</v>
      </c>
      <c r="F56" s="149" t="str">
        <f t="shared" si="0"/>
        <v>Usluge telefona, pošte i prijevoza</v>
      </c>
      <c r="G56" s="201" t="s">
        <v>194</v>
      </c>
      <c r="H56" s="149" t="str">
        <f t="shared" si="2"/>
        <v>REDOVNA DJELATNOST SVEUČILIŠTA U RIJECI (IZ EVIDENCIJSKIH PRIHODA)</v>
      </c>
      <c r="I56" s="198">
        <v>66000</v>
      </c>
      <c r="J56" s="198">
        <v>66000</v>
      </c>
      <c r="K56" s="198">
        <v>66000</v>
      </c>
      <c r="M56" s="144" t="str">
        <f t="shared" si="3"/>
        <v>323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12"/>
        <v>36</v>
      </c>
      <c r="V56" s="144" t="str">
        <f t="shared" si="13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43</v>
      </c>
      <c r="D57" s="149" t="str">
        <f t="shared" si="1"/>
        <v>Ostali prihodi za posebne namjene</v>
      </c>
      <c r="E57" s="154">
        <v>3232</v>
      </c>
      <c r="F57" s="149" t="str">
        <f t="shared" ref="F57:F74" si="14">IFERROR(VLOOKUP(E57,$R$5:$T$129,2,FALSE),"")</f>
        <v>Usluge tekućeg i investicijskog održavanja</v>
      </c>
      <c r="G57" s="201" t="s">
        <v>194</v>
      </c>
      <c r="H57" s="149" t="str">
        <f t="shared" si="2"/>
        <v>REDOVNA DJELATNOST SVEUČILIŠTA U RIJECI (IZ EVIDENCIJSKIH PRIHODA)</v>
      </c>
      <c r="I57" s="198">
        <v>38000</v>
      </c>
      <c r="J57" s="198">
        <v>20000</v>
      </c>
      <c r="K57" s="198">
        <v>20000</v>
      </c>
      <c r="M57" s="144" t="str">
        <f t="shared" ref="M57:M74" si="15">LEFT(E57,3)</f>
        <v>323</v>
      </c>
      <c r="N57" s="144" t="str">
        <f t="shared" ref="N57:N74" si="16">LEFT(E57,2)</f>
        <v>32</v>
      </c>
      <c r="R57" s="144">
        <v>3662</v>
      </c>
      <c r="S57" s="144" t="s">
        <v>202</v>
      </c>
      <c r="U57" s="144" t="str">
        <f t="shared" si="12"/>
        <v>36</v>
      </c>
      <c r="V57" s="144" t="str">
        <f t="shared" si="13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43</v>
      </c>
      <c r="D58" s="149" t="str">
        <f t="shared" si="1"/>
        <v>Ostali prihodi za posebne namjene</v>
      </c>
      <c r="E58" s="154">
        <v>3233</v>
      </c>
      <c r="F58" s="149" t="str">
        <f t="shared" si="14"/>
        <v>Usluge promidžbe i informiranja</v>
      </c>
      <c r="G58" s="201" t="s">
        <v>194</v>
      </c>
      <c r="H58" s="149" t="str">
        <f t="shared" si="2"/>
        <v>REDOVNA DJELATNOST SVEUČILIŠTA U RIJECI (IZ EVIDENCIJSKIH PRIHODA)</v>
      </c>
      <c r="I58" s="198">
        <v>122000</v>
      </c>
      <c r="J58" s="198">
        <v>122000</v>
      </c>
      <c r="K58" s="198">
        <v>122000</v>
      </c>
      <c r="M58" s="144" t="str">
        <f t="shared" si="15"/>
        <v>323</v>
      </c>
      <c r="N58" s="144" t="str">
        <f t="shared" si="16"/>
        <v>32</v>
      </c>
      <c r="R58" s="144">
        <v>3681</v>
      </c>
      <c r="S58" s="144" t="s">
        <v>33</v>
      </c>
      <c r="U58" s="144" t="str">
        <f t="shared" si="12"/>
        <v>36</v>
      </c>
      <c r="V58" s="144" t="str">
        <f t="shared" si="13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43</v>
      </c>
      <c r="D59" s="149" t="str">
        <f t="shared" si="1"/>
        <v>Ostali prihodi za posebne namjene</v>
      </c>
      <c r="E59" s="154">
        <v>3235</v>
      </c>
      <c r="F59" s="149" t="str">
        <f t="shared" si="14"/>
        <v>Zakupnine i najamnine</v>
      </c>
      <c r="G59" s="201" t="s">
        <v>194</v>
      </c>
      <c r="H59" s="149" t="str">
        <f t="shared" si="2"/>
        <v>REDOVNA DJELATNOST SVEUČILIŠTA U RIJECI (IZ EVIDENCIJSKIH PRIHODA)</v>
      </c>
      <c r="I59" s="198">
        <v>108000</v>
      </c>
      <c r="J59" s="198">
        <v>50000</v>
      </c>
      <c r="K59" s="198">
        <v>40000</v>
      </c>
      <c r="M59" s="144" t="str">
        <f t="shared" si="15"/>
        <v>323</v>
      </c>
      <c r="N59" s="144" t="str">
        <f t="shared" si="16"/>
        <v>32</v>
      </c>
      <c r="R59" s="144">
        <v>3682</v>
      </c>
      <c r="S59" s="144" t="s">
        <v>34</v>
      </c>
      <c r="U59" s="144" t="str">
        <f t="shared" si="12"/>
        <v>36</v>
      </c>
      <c r="V59" s="144" t="str">
        <f t="shared" si="13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43</v>
      </c>
      <c r="D60" s="149" t="str">
        <f t="shared" si="1"/>
        <v>Ostali prihodi za posebne namjene</v>
      </c>
      <c r="E60" s="154">
        <v>3236</v>
      </c>
      <c r="F60" s="149" t="str">
        <f t="shared" si="14"/>
        <v>Zdravstvene i veterinarske usluge</v>
      </c>
      <c r="G60" s="201" t="s">
        <v>194</v>
      </c>
      <c r="H60" s="149" t="str">
        <f t="shared" si="2"/>
        <v>REDOVNA DJELATNOST SVEUČILIŠTA U RIJECI (IZ EVIDENCIJSKIH PRIHODA)</v>
      </c>
      <c r="I60" s="198">
        <v>58000</v>
      </c>
      <c r="J60" s="198">
        <v>58000</v>
      </c>
      <c r="K60" s="198">
        <v>58000</v>
      </c>
      <c r="M60" s="144" t="str">
        <f t="shared" si="15"/>
        <v>323</v>
      </c>
      <c r="N60" s="144" t="str">
        <f t="shared" si="16"/>
        <v>32</v>
      </c>
      <c r="R60" s="144">
        <v>3691</v>
      </c>
      <c r="S60" s="144" t="s">
        <v>123</v>
      </c>
      <c r="U60" s="144" t="str">
        <f t="shared" si="12"/>
        <v>36</v>
      </c>
      <c r="V60" s="144" t="str">
        <f t="shared" si="13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43</v>
      </c>
      <c r="D61" s="149" t="str">
        <f t="shared" si="1"/>
        <v>Ostali prihodi za posebne namjene</v>
      </c>
      <c r="E61" s="154">
        <v>3237</v>
      </c>
      <c r="F61" s="149" t="str">
        <f t="shared" si="14"/>
        <v>Intelektualne i osobne usluge</v>
      </c>
      <c r="G61" s="201" t="s">
        <v>194</v>
      </c>
      <c r="H61" s="149" t="str">
        <f t="shared" si="2"/>
        <v>REDOVNA DJELATNOST SVEUČILIŠTA U RIJECI (IZ EVIDENCIJSKIH PRIHODA)</v>
      </c>
      <c r="I61" s="198">
        <v>652000</v>
      </c>
      <c r="J61" s="198">
        <v>600000</v>
      </c>
      <c r="K61" s="198">
        <v>550000</v>
      </c>
      <c r="M61" s="144" t="str">
        <f t="shared" si="15"/>
        <v>323</v>
      </c>
      <c r="N61" s="144" t="str">
        <f t="shared" si="16"/>
        <v>32</v>
      </c>
      <c r="R61" s="144">
        <v>3692</v>
      </c>
      <c r="S61" s="144" t="s">
        <v>196</v>
      </c>
      <c r="U61" s="144" t="str">
        <f t="shared" si="12"/>
        <v>36</v>
      </c>
      <c r="V61" s="144" t="str">
        <f t="shared" si="13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43</v>
      </c>
      <c r="D62" s="149" t="str">
        <f t="shared" si="1"/>
        <v>Ostali prihodi za posebne namjene</v>
      </c>
      <c r="E62" s="154">
        <v>3238</v>
      </c>
      <c r="F62" s="149" t="str">
        <f t="shared" si="14"/>
        <v>Računalne usluge</v>
      </c>
      <c r="G62" s="201" t="s">
        <v>194</v>
      </c>
      <c r="H62" s="149" t="str">
        <f t="shared" si="2"/>
        <v>REDOVNA DJELATNOST SVEUČILIŠTA U RIJECI (IZ EVIDENCIJSKIH PRIHODA)</v>
      </c>
      <c r="I62" s="198">
        <v>48000</v>
      </c>
      <c r="J62" s="198">
        <v>48000</v>
      </c>
      <c r="K62" s="198">
        <v>48000</v>
      </c>
      <c r="M62" s="144" t="str">
        <f t="shared" si="15"/>
        <v>323</v>
      </c>
      <c r="N62" s="144" t="str">
        <f t="shared" si="16"/>
        <v>32</v>
      </c>
      <c r="R62" s="144">
        <v>3693</v>
      </c>
      <c r="S62" s="144" t="s">
        <v>123</v>
      </c>
      <c r="U62" s="144" t="str">
        <f t="shared" si="12"/>
        <v>36</v>
      </c>
      <c r="V62" s="144" t="str">
        <f t="shared" si="13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43</v>
      </c>
      <c r="D63" s="149" t="str">
        <f t="shared" si="1"/>
        <v>Ostali prihodi za posebne namjene</v>
      </c>
      <c r="E63" s="154">
        <v>3239</v>
      </c>
      <c r="F63" s="149" t="str">
        <f t="shared" si="14"/>
        <v>Ostale usluge</v>
      </c>
      <c r="G63" s="201" t="s">
        <v>194</v>
      </c>
      <c r="H63" s="149" t="str">
        <f t="shared" si="2"/>
        <v>REDOVNA DJELATNOST SVEUČILIŠTA U RIJECI (IZ EVIDENCIJSKIH PRIHODA)</v>
      </c>
      <c r="I63" s="198">
        <v>128000</v>
      </c>
      <c r="J63" s="198">
        <v>128000</v>
      </c>
      <c r="K63" s="198">
        <v>128000</v>
      </c>
      <c r="M63" s="144" t="str">
        <f t="shared" si="15"/>
        <v>323</v>
      </c>
      <c r="N63" s="144" t="str">
        <f t="shared" si="16"/>
        <v>32</v>
      </c>
      <c r="R63" s="144">
        <v>3694</v>
      </c>
      <c r="S63" s="144" t="s">
        <v>196</v>
      </c>
      <c r="U63" s="144" t="str">
        <f t="shared" si="12"/>
        <v>36</v>
      </c>
      <c r="V63" s="144" t="str">
        <f t="shared" si="13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43</v>
      </c>
      <c r="D64" s="149" t="str">
        <f t="shared" si="1"/>
        <v>Ostali prihodi za posebne namjene</v>
      </c>
      <c r="E64" s="154">
        <v>3292</v>
      </c>
      <c r="F64" s="149" t="str">
        <f t="shared" si="14"/>
        <v>Premije osiguranja</v>
      </c>
      <c r="G64" s="201" t="s">
        <v>194</v>
      </c>
      <c r="H64" s="149" t="str">
        <f t="shared" si="2"/>
        <v>REDOVNA DJELATNOST SVEUČILIŠTA U RIJECI (IZ EVIDENCIJSKIH PRIHODA)</v>
      </c>
      <c r="I64" s="198">
        <v>65000</v>
      </c>
      <c r="J64" s="198">
        <v>65000</v>
      </c>
      <c r="K64" s="198">
        <v>65000</v>
      </c>
      <c r="M64" s="144" t="str">
        <f t="shared" si="15"/>
        <v>329</v>
      </c>
      <c r="N64" s="144" t="str">
        <f t="shared" si="16"/>
        <v>32</v>
      </c>
      <c r="R64" s="144">
        <v>3711</v>
      </c>
      <c r="S64" s="144" t="s">
        <v>143</v>
      </c>
      <c r="U64" s="144" t="str">
        <f t="shared" si="12"/>
        <v>37</v>
      </c>
      <c r="V64" s="144" t="str">
        <f t="shared" si="13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43</v>
      </c>
      <c r="D65" s="149" t="str">
        <f t="shared" si="1"/>
        <v>Ostali prihodi za posebne namjene</v>
      </c>
      <c r="E65" s="154">
        <v>3293</v>
      </c>
      <c r="F65" s="149" t="str">
        <f t="shared" si="14"/>
        <v>Reprezentacija</v>
      </c>
      <c r="G65" s="201" t="s">
        <v>194</v>
      </c>
      <c r="H65" s="149" t="str">
        <f t="shared" si="2"/>
        <v>REDOVNA DJELATNOST SVEUČILIŠTA U RIJECI (IZ EVIDENCIJSKIH PRIHODA)</v>
      </c>
      <c r="I65" s="198">
        <v>69000</v>
      </c>
      <c r="J65" s="198">
        <v>69000</v>
      </c>
      <c r="K65" s="198">
        <v>69000</v>
      </c>
      <c r="M65" s="144" t="str">
        <f t="shared" si="15"/>
        <v>329</v>
      </c>
      <c r="N65" s="144" t="str">
        <f t="shared" si="16"/>
        <v>32</v>
      </c>
      <c r="R65" s="144">
        <v>3712</v>
      </c>
      <c r="S65" s="144" t="s">
        <v>161</v>
      </c>
      <c r="U65" s="144" t="str">
        <f t="shared" si="12"/>
        <v>37</v>
      </c>
      <c r="V65" s="144" t="str">
        <f t="shared" si="13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43</v>
      </c>
      <c r="D66" s="149" t="str">
        <f t="shared" si="1"/>
        <v>Ostali prihodi za posebne namjene</v>
      </c>
      <c r="E66" s="154">
        <v>3294</v>
      </c>
      <c r="F66" s="149" t="str">
        <f t="shared" si="14"/>
        <v>Članarine i norme</v>
      </c>
      <c r="G66" s="201" t="s">
        <v>194</v>
      </c>
      <c r="H66" s="149" t="str">
        <f t="shared" si="2"/>
        <v>REDOVNA DJELATNOST SVEUČILIŠTA U RIJECI (IZ EVIDENCIJSKIH PRIHODA)</v>
      </c>
      <c r="I66" s="198">
        <v>55000</v>
      </c>
      <c r="J66" s="198">
        <v>55000</v>
      </c>
      <c r="K66" s="198">
        <v>55000</v>
      </c>
      <c r="M66" s="144" t="str">
        <f t="shared" si="15"/>
        <v>329</v>
      </c>
      <c r="N66" s="144" t="str">
        <f t="shared" si="16"/>
        <v>32</v>
      </c>
      <c r="R66" s="144">
        <v>3713</v>
      </c>
      <c r="S66" s="144" t="s">
        <v>188</v>
      </c>
      <c r="U66" s="144" t="str">
        <f t="shared" si="12"/>
        <v>37</v>
      </c>
      <c r="V66" s="144" t="str">
        <f t="shared" si="13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43</v>
      </c>
      <c r="D67" s="149" t="str">
        <f t="shared" si="1"/>
        <v>Ostali prihodi za posebne namjene</v>
      </c>
      <c r="E67" s="154">
        <v>3295</v>
      </c>
      <c r="F67" s="149" t="str">
        <f t="shared" si="14"/>
        <v>Pristojbe i naknade</v>
      </c>
      <c r="G67" s="201" t="s">
        <v>194</v>
      </c>
      <c r="H67" s="149" t="str">
        <f t="shared" si="2"/>
        <v>REDOVNA DJELATNOST SVEUČILIŠTA U RIJECI (IZ EVIDENCIJSKIH PRIHODA)</v>
      </c>
      <c r="I67" s="198">
        <v>1000</v>
      </c>
      <c r="J67" s="198">
        <v>1000</v>
      </c>
      <c r="K67" s="198">
        <v>1000</v>
      </c>
      <c r="M67" s="144" t="str">
        <f t="shared" si="15"/>
        <v>329</v>
      </c>
      <c r="N67" s="144" t="str">
        <f t="shared" si="16"/>
        <v>32</v>
      </c>
      <c r="R67" s="144">
        <v>3714</v>
      </c>
      <c r="S67" s="144" t="s">
        <v>209</v>
      </c>
      <c r="U67" s="144" t="str">
        <f t="shared" si="12"/>
        <v>37</v>
      </c>
      <c r="V67" s="144" t="str">
        <f t="shared" si="13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43</v>
      </c>
      <c r="D68" s="149" t="str">
        <f t="shared" ref="D68:D131" si="17">IFERROR(VLOOKUP(C68,$O$6:$P$16,2,FALSE),"")</f>
        <v>Ostali prihodi za posebne namjene</v>
      </c>
      <c r="E68" s="154">
        <v>3299</v>
      </c>
      <c r="F68" s="149" t="str">
        <f t="shared" si="14"/>
        <v>Ostali nespomenuti rashodi poslovanja</v>
      </c>
      <c r="G68" s="201" t="s">
        <v>194</v>
      </c>
      <c r="H68" s="149" t="str">
        <f t="shared" ref="H68:H131" si="18">IFERROR(VLOOKUP(G68,$X$6:$Y$50,2,FALSE),"")</f>
        <v>REDOVNA DJELATNOST SVEUČILIŠTA U RIJECI (IZ EVIDENCIJSKIH PRIHODA)</v>
      </c>
      <c r="I68" s="198">
        <v>824000</v>
      </c>
      <c r="J68" s="198">
        <v>120000</v>
      </c>
      <c r="K68" s="198">
        <v>100000</v>
      </c>
      <c r="M68" s="144" t="str">
        <f t="shared" si="15"/>
        <v>329</v>
      </c>
      <c r="N68" s="144" t="str">
        <f t="shared" si="16"/>
        <v>32</v>
      </c>
      <c r="R68" s="144">
        <v>3715</v>
      </c>
      <c r="S68" s="144" t="s">
        <v>147</v>
      </c>
      <c r="U68" s="144" t="str">
        <f t="shared" si="12"/>
        <v>37</v>
      </c>
      <c r="V68" s="144" t="str">
        <f t="shared" si="13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43</v>
      </c>
      <c r="D69" s="149" t="str">
        <f t="shared" si="17"/>
        <v>Ostali prihodi za posebne namjene</v>
      </c>
      <c r="E69" s="154">
        <v>3431</v>
      </c>
      <c r="F69" s="149" t="str">
        <f t="shared" si="14"/>
        <v>Bankarske usluge i usluge platnog prometa</v>
      </c>
      <c r="G69" s="201" t="s">
        <v>194</v>
      </c>
      <c r="H69" s="149" t="str">
        <f t="shared" si="18"/>
        <v>REDOVNA DJELATNOST SVEUČILIŠTA U RIJECI (IZ EVIDENCIJSKIH PRIHODA)</v>
      </c>
      <c r="I69" s="198">
        <v>1000</v>
      </c>
      <c r="J69" s="198">
        <v>1000</v>
      </c>
      <c r="K69" s="198">
        <v>1000</v>
      </c>
      <c r="M69" s="144" t="str">
        <f t="shared" si="15"/>
        <v>343</v>
      </c>
      <c r="N69" s="144" t="str">
        <f t="shared" si="16"/>
        <v>34</v>
      </c>
      <c r="R69" s="144">
        <v>3721</v>
      </c>
      <c r="S69" s="144" t="s">
        <v>84</v>
      </c>
      <c r="U69" s="144" t="str">
        <f t="shared" si="12"/>
        <v>37</v>
      </c>
      <c r="V69" s="144" t="str">
        <f t="shared" si="13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43</v>
      </c>
      <c r="D70" s="149" t="str">
        <f t="shared" si="17"/>
        <v>Ostali prihodi za posebne namjene</v>
      </c>
      <c r="E70" s="154">
        <v>3721</v>
      </c>
      <c r="F70" s="149" t="str">
        <f t="shared" si="14"/>
        <v>Naknade građanima i kućanstvima u novcu</v>
      </c>
      <c r="G70" s="201" t="s">
        <v>194</v>
      </c>
      <c r="H70" s="149" t="str">
        <f t="shared" si="18"/>
        <v>REDOVNA DJELATNOST SVEUČILIŠTA U RIJECI (IZ EVIDENCIJSKIH PRIHODA)</v>
      </c>
      <c r="I70" s="198">
        <v>20000</v>
      </c>
      <c r="J70" s="198">
        <v>20000</v>
      </c>
      <c r="K70" s="198">
        <v>20000</v>
      </c>
      <c r="M70" s="144" t="str">
        <f t="shared" si="15"/>
        <v>372</v>
      </c>
      <c r="N70" s="144" t="str">
        <f t="shared" si="16"/>
        <v>37</v>
      </c>
      <c r="R70" s="144">
        <v>3722</v>
      </c>
      <c r="S70" s="144" t="s">
        <v>170</v>
      </c>
      <c r="U70" s="144" t="str">
        <f t="shared" si="12"/>
        <v>37</v>
      </c>
      <c r="V70" s="144" t="str">
        <f t="shared" si="13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43</v>
      </c>
      <c r="D71" s="149" t="str">
        <f t="shared" si="17"/>
        <v>Ostali prihodi za posebne namjene</v>
      </c>
      <c r="E71" s="154">
        <v>4221</v>
      </c>
      <c r="F71" s="149" t="str">
        <f t="shared" si="14"/>
        <v>Uredska oprema i namještaj</v>
      </c>
      <c r="G71" s="201" t="s">
        <v>194</v>
      </c>
      <c r="H71" s="149" t="str">
        <f t="shared" si="18"/>
        <v>REDOVNA DJELATNOST SVEUČILIŠTA U RIJECI (IZ EVIDENCIJSKIH PRIHODA)</v>
      </c>
      <c r="I71" s="198">
        <v>1735000</v>
      </c>
      <c r="J71" s="198">
        <v>310000</v>
      </c>
      <c r="K71" s="198">
        <v>426000</v>
      </c>
      <c r="M71" s="144" t="str">
        <f t="shared" si="15"/>
        <v>422</v>
      </c>
      <c r="N71" s="144" t="str">
        <f t="shared" si="16"/>
        <v>42</v>
      </c>
      <c r="R71" s="144">
        <v>3723</v>
      </c>
      <c r="S71" s="144" t="s">
        <v>124</v>
      </c>
      <c r="U71" s="144" t="str">
        <f t="shared" si="12"/>
        <v>37</v>
      </c>
      <c r="V71" s="144" t="str">
        <f t="shared" si="13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43</v>
      </c>
      <c r="D72" s="149" t="str">
        <f t="shared" si="17"/>
        <v>Ostali prihodi za posebne namjene</v>
      </c>
      <c r="E72" s="154">
        <v>4222</v>
      </c>
      <c r="F72" s="149" t="str">
        <f t="shared" si="14"/>
        <v>Komunikacijska oprema</v>
      </c>
      <c r="G72" s="201" t="s">
        <v>194</v>
      </c>
      <c r="H72" s="149" t="str">
        <f t="shared" si="18"/>
        <v>REDOVNA DJELATNOST SVEUČILIŠTA U RIJECI (IZ EVIDENCIJSKIH PRIHODA)</v>
      </c>
      <c r="I72" s="198">
        <v>240000</v>
      </c>
      <c r="J72" s="198">
        <v>10000</v>
      </c>
      <c r="K72" s="198">
        <v>10000</v>
      </c>
      <c r="M72" s="144" t="str">
        <f t="shared" si="15"/>
        <v>422</v>
      </c>
      <c r="N72" s="144" t="str">
        <f t="shared" si="16"/>
        <v>42</v>
      </c>
      <c r="R72" s="144">
        <v>3811</v>
      </c>
      <c r="S72" s="144" t="s">
        <v>74</v>
      </c>
      <c r="U72" s="144" t="str">
        <f t="shared" si="12"/>
        <v>38</v>
      </c>
      <c r="V72" s="144" t="str">
        <f t="shared" si="13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43</v>
      </c>
      <c r="D73" s="149" t="str">
        <f t="shared" si="17"/>
        <v>Ostali prihodi za posebne namjene</v>
      </c>
      <c r="E73" s="154">
        <v>4241</v>
      </c>
      <c r="F73" s="149" t="str">
        <f t="shared" si="14"/>
        <v>Knjige</v>
      </c>
      <c r="G73" s="201" t="s">
        <v>194</v>
      </c>
      <c r="H73" s="149" t="str">
        <f t="shared" si="18"/>
        <v>REDOVNA DJELATNOST SVEUČILIŠTA U RIJECI (IZ EVIDENCIJSKIH PRIHODA)</v>
      </c>
      <c r="I73" s="198">
        <v>10000</v>
      </c>
      <c r="J73" s="198">
        <v>15000</v>
      </c>
      <c r="K73" s="198">
        <v>20000</v>
      </c>
      <c r="M73" s="144" t="str">
        <f t="shared" si="15"/>
        <v>424</v>
      </c>
      <c r="N73" s="144" t="str">
        <f t="shared" si="16"/>
        <v>42</v>
      </c>
      <c r="R73" s="144">
        <v>3812</v>
      </c>
      <c r="S73" s="144" t="s">
        <v>171</v>
      </c>
      <c r="U73" s="144" t="str">
        <f t="shared" si="12"/>
        <v>38</v>
      </c>
      <c r="V73" s="144" t="str">
        <f t="shared" si="13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43</v>
      </c>
      <c r="D74" s="149" t="str">
        <f t="shared" si="17"/>
        <v>Ostali prihodi za posebne namjene</v>
      </c>
      <c r="E74" s="154">
        <v>4511</v>
      </c>
      <c r="F74" s="149" t="str">
        <f t="shared" si="14"/>
        <v>Dodatna ulaganja na građevinskim objektima</v>
      </c>
      <c r="G74" s="201" t="s">
        <v>194</v>
      </c>
      <c r="H74" s="149" t="str">
        <f t="shared" si="18"/>
        <v>REDOVNA DJELATNOST SVEUČILIŠTA U RIJECI (IZ EVIDENCIJSKIH PRIHODA)</v>
      </c>
      <c r="I74" s="198">
        <v>5210000</v>
      </c>
      <c r="J74" s="198">
        <v>400000</v>
      </c>
      <c r="K74" s="198">
        <v>400000</v>
      </c>
      <c r="M74" s="144" t="str">
        <f t="shared" si="15"/>
        <v>451</v>
      </c>
      <c r="N74" s="144" t="str">
        <f t="shared" si="16"/>
        <v>45</v>
      </c>
      <c r="R74" s="144">
        <v>3813</v>
      </c>
      <c r="S74" s="144" t="s">
        <v>113</v>
      </c>
      <c r="U74" s="144" t="str">
        <f t="shared" ref="U74:U80" si="19">LEFT(R74,2)</f>
        <v>38</v>
      </c>
      <c r="V74" s="144" t="str">
        <f t="shared" ref="V74:V80" si="20">LEFT(R74,3)</f>
        <v>381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51</v>
      </c>
      <c r="D75" s="149" t="str">
        <f t="shared" si="17"/>
        <v>Pomoći EU</v>
      </c>
      <c r="E75" s="154">
        <v>3111</v>
      </c>
      <c r="F75" s="149" t="str">
        <f t="shared" ref="F75:F130" si="21">IFERROR(VLOOKUP(E75,$R$5:$T$129,2,FALSE),"")</f>
        <v>Plaće za redovan rad</v>
      </c>
      <c r="G75" s="201" t="s">
        <v>136</v>
      </c>
      <c r="H75" s="149" t="str">
        <f t="shared" si="18"/>
        <v>EU PROJEKTI SVEUČILIŠTA U RIJECI (IZ EVIDENCIJSKIH PRIHODA)</v>
      </c>
      <c r="I75" s="198">
        <v>366000</v>
      </c>
      <c r="J75" s="198">
        <v>151000</v>
      </c>
      <c r="K75" s="198">
        <v>0</v>
      </c>
      <c r="M75" s="144" t="str">
        <f t="shared" ref="M75:M131" si="22">LEFT(E75,3)</f>
        <v>311</v>
      </c>
      <c r="N75" s="144" t="str">
        <f t="shared" ref="N75:N131" si="23">LEFT(E75,2)</f>
        <v>31</v>
      </c>
      <c r="R75" s="144">
        <v>3821</v>
      </c>
      <c r="S75" s="144" t="s">
        <v>189</v>
      </c>
      <c r="U75" s="144" t="str">
        <f t="shared" si="19"/>
        <v>38</v>
      </c>
      <c r="V75" s="144" t="str">
        <f t="shared" si="20"/>
        <v>382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51</v>
      </c>
      <c r="D76" s="149" t="str">
        <f t="shared" si="17"/>
        <v>Pomoći EU</v>
      </c>
      <c r="E76" s="154">
        <v>3132</v>
      </c>
      <c r="F76" s="149" t="str">
        <f t="shared" si="21"/>
        <v>Doprinosi za obvezno zdravstveno osiguranje</v>
      </c>
      <c r="G76" s="201" t="s">
        <v>136</v>
      </c>
      <c r="H76" s="149" t="str">
        <f t="shared" si="18"/>
        <v>EU PROJEKTI SVEUČILIŠTA U RIJECI (IZ EVIDENCIJSKIH PRIHODA)</v>
      </c>
      <c r="I76" s="198">
        <v>60000</v>
      </c>
      <c r="J76" s="198">
        <v>25000</v>
      </c>
      <c r="K76" s="198">
        <v>0</v>
      </c>
      <c r="M76" s="144" t="str">
        <f t="shared" si="22"/>
        <v>313</v>
      </c>
      <c r="N76" s="144" t="str">
        <f t="shared" si="23"/>
        <v>31</v>
      </c>
      <c r="R76" s="144">
        <v>3831</v>
      </c>
      <c r="S76" s="144" t="s">
        <v>172</v>
      </c>
      <c r="U76" s="144" t="str">
        <f t="shared" si="19"/>
        <v>38</v>
      </c>
      <c r="V76" s="144" t="str">
        <f t="shared" si="20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51</v>
      </c>
      <c r="D77" s="149" t="str">
        <f t="shared" si="17"/>
        <v>Pomoći EU</v>
      </c>
      <c r="E77" s="154">
        <v>3211</v>
      </c>
      <c r="F77" s="149" t="str">
        <f t="shared" si="21"/>
        <v>Službena putovanja</v>
      </c>
      <c r="G77" s="201" t="s">
        <v>136</v>
      </c>
      <c r="H77" s="149" t="str">
        <f t="shared" si="18"/>
        <v>EU PROJEKTI SVEUČILIŠTA U RIJECI (IZ EVIDENCIJSKIH PRIHODA)</v>
      </c>
      <c r="I77" s="198">
        <v>62000</v>
      </c>
      <c r="J77" s="198">
        <v>22000</v>
      </c>
      <c r="K77" s="198">
        <v>0</v>
      </c>
      <c r="M77" s="144" t="str">
        <f t="shared" si="22"/>
        <v>321</v>
      </c>
      <c r="N77" s="144" t="str">
        <f t="shared" si="23"/>
        <v>32</v>
      </c>
      <c r="R77" s="144">
        <v>3832</v>
      </c>
      <c r="S77" s="144" t="s">
        <v>212</v>
      </c>
      <c r="U77" s="144" t="str">
        <f t="shared" si="19"/>
        <v>38</v>
      </c>
      <c r="V77" s="144" t="str">
        <f t="shared" si="20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51</v>
      </c>
      <c r="D78" s="149" t="str">
        <f t="shared" si="17"/>
        <v>Pomoći EU</v>
      </c>
      <c r="E78" s="154">
        <v>3221</v>
      </c>
      <c r="F78" s="149" t="str">
        <f t="shared" si="21"/>
        <v>Uredski materijal i ostali materijalni rashodi</v>
      </c>
      <c r="G78" s="201" t="s">
        <v>136</v>
      </c>
      <c r="H78" s="149" t="str">
        <f t="shared" si="18"/>
        <v>EU PROJEKTI SVEUČILIŠTA U RIJECI (IZ EVIDENCIJSKIH PRIHODA)</v>
      </c>
      <c r="I78" s="198">
        <v>63000</v>
      </c>
      <c r="J78" s="198">
        <v>26000</v>
      </c>
      <c r="K78" s="198">
        <v>0</v>
      </c>
      <c r="M78" s="144" t="str">
        <f t="shared" si="22"/>
        <v>322</v>
      </c>
      <c r="N78" s="144" t="str">
        <f t="shared" si="23"/>
        <v>32</v>
      </c>
      <c r="R78" s="144">
        <v>3833</v>
      </c>
      <c r="S78" s="144" t="s">
        <v>173</v>
      </c>
      <c r="U78" s="144" t="str">
        <f t="shared" si="19"/>
        <v>38</v>
      </c>
      <c r="V78" s="144" t="str">
        <f t="shared" si="20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51</v>
      </c>
      <c r="D79" s="149" t="str">
        <f t="shared" si="17"/>
        <v>Pomoći EU</v>
      </c>
      <c r="E79" s="154">
        <v>3239</v>
      </c>
      <c r="F79" s="149" t="str">
        <f t="shared" si="21"/>
        <v>Ostale usluge</v>
      </c>
      <c r="G79" s="201" t="s">
        <v>136</v>
      </c>
      <c r="H79" s="149" t="str">
        <f t="shared" si="18"/>
        <v>EU PROJEKTI SVEUČILIŠTA U RIJECI (IZ EVIDENCIJSKIH PRIHODA)</v>
      </c>
      <c r="I79" s="198">
        <v>165000</v>
      </c>
      <c r="J79" s="198">
        <v>37000</v>
      </c>
      <c r="K79" s="198">
        <v>0</v>
      </c>
      <c r="M79" s="144" t="str">
        <f t="shared" si="22"/>
        <v>323</v>
      </c>
      <c r="N79" s="144" t="str">
        <f t="shared" si="23"/>
        <v>32</v>
      </c>
      <c r="R79" s="144">
        <v>3834</v>
      </c>
      <c r="S79" s="144" t="s">
        <v>174</v>
      </c>
      <c r="U79" s="144" t="str">
        <f t="shared" si="19"/>
        <v>38</v>
      </c>
      <c r="V79" s="144" t="str">
        <f t="shared" si="20"/>
        <v>383</v>
      </c>
    </row>
    <row r="80" spans="1:22" s="265" customFormat="1">
      <c r="A80" s="260" t="str">
        <f>IF(C80="","",VLOOKUP('Opći dio'!$C$3,'Opći dio'!$L$6:$U$135,10,FALSE))</f>
        <v>08006</v>
      </c>
      <c r="B80" s="260" t="str">
        <f>IF(C80="","",VLOOKUP('Opći dio'!$C$3,'Opći dio'!$L$6:$U$135,9,FALSE))</f>
        <v>Sveučilišta i veleučilišta u Republici Hrvatskoj</v>
      </c>
      <c r="C80" s="261">
        <v>51</v>
      </c>
      <c r="D80" s="262" t="str">
        <f t="shared" si="17"/>
        <v>Pomoći EU</v>
      </c>
      <c r="E80" s="261">
        <v>3111</v>
      </c>
      <c r="F80" s="262" t="str">
        <f t="shared" si="21"/>
        <v>Plaće za redovan rad</v>
      </c>
      <c r="G80" s="263" t="s">
        <v>136</v>
      </c>
      <c r="H80" s="262" t="str">
        <f t="shared" si="18"/>
        <v>EU PROJEKTI SVEUČILIŠTA U RIJECI (IZ EVIDENCIJSKIH PRIHODA)</v>
      </c>
      <c r="I80" s="264">
        <f>64000-9000</f>
        <v>55000</v>
      </c>
      <c r="J80" s="264">
        <v>22000</v>
      </c>
      <c r="K80" s="264">
        <v>0</v>
      </c>
      <c r="M80" s="265" t="str">
        <f t="shared" si="22"/>
        <v>311</v>
      </c>
      <c r="N80" s="265" t="str">
        <f t="shared" si="23"/>
        <v>31</v>
      </c>
      <c r="R80" s="265">
        <v>3835</v>
      </c>
      <c r="S80" s="265" t="s">
        <v>175</v>
      </c>
      <c r="U80" s="265" t="str">
        <f t="shared" si="19"/>
        <v>38</v>
      </c>
      <c r="V80" s="265" t="str">
        <f t="shared" si="20"/>
        <v>383</v>
      </c>
    </row>
    <row r="81" spans="1:22" s="265" customFormat="1">
      <c r="A81" s="260" t="str">
        <f>IF(C81="","",VLOOKUP('Opći dio'!$C$3,'Opći dio'!$L$6:$U$135,10,FALSE))</f>
        <v>08006</v>
      </c>
      <c r="B81" s="260" t="str">
        <f>IF(C81="","",VLOOKUP('Opći dio'!$C$3,'Opći dio'!$L$6:$U$135,9,FALSE))</f>
        <v>Sveučilišta i veleučilišta u Republici Hrvatskoj</v>
      </c>
      <c r="C81" s="261">
        <v>51</v>
      </c>
      <c r="D81" s="262" t="str">
        <f t="shared" si="17"/>
        <v>Pomoći EU</v>
      </c>
      <c r="E81" s="261">
        <v>3132</v>
      </c>
      <c r="F81" s="262" t="str">
        <f t="shared" si="21"/>
        <v>Doprinosi za obvezno zdravstveno osiguranje</v>
      </c>
      <c r="G81" s="263" t="s">
        <v>136</v>
      </c>
      <c r="H81" s="262" t="str">
        <f t="shared" si="18"/>
        <v>EU PROJEKTI SVEUČILIŠTA U RIJECI (IZ EVIDENCIJSKIH PRIHODA)</v>
      </c>
      <c r="I81" s="264">
        <v>9000</v>
      </c>
      <c r="J81" s="264">
        <v>4000</v>
      </c>
      <c r="K81" s="264">
        <v>0</v>
      </c>
      <c r="M81" s="265" t="str">
        <f t="shared" si="22"/>
        <v>313</v>
      </c>
      <c r="N81" s="265" t="str">
        <f t="shared" si="23"/>
        <v>31</v>
      </c>
      <c r="R81" s="265">
        <v>3861</v>
      </c>
      <c r="S81" s="266" t="s">
        <v>850</v>
      </c>
      <c r="U81" s="265" t="str">
        <f t="shared" ref="U81:U83" si="24">LEFT(R81,2)</f>
        <v>38</v>
      </c>
      <c r="V81" s="265" t="str">
        <f t="shared" ref="V81:V83" si="25">LEFT(R81,3)</f>
        <v>386</v>
      </c>
    </row>
    <row r="82" spans="1:22" s="265" customFormat="1">
      <c r="A82" s="260" t="str">
        <f>IF(C82="","",VLOOKUP('Opći dio'!$C$3,'Opći dio'!$L$6:$U$135,10,FALSE))</f>
        <v>08006</v>
      </c>
      <c r="B82" s="260" t="str">
        <f>IF(C82="","",VLOOKUP('Opći dio'!$C$3,'Opći dio'!$L$6:$U$135,9,FALSE))</f>
        <v>Sveučilišta i veleučilišta u Republici Hrvatskoj</v>
      </c>
      <c r="C82" s="261">
        <v>51</v>
      </c>
      <c r="D82" s="262" t="str">
        <f t="shared" si="17"/>
        <v>Pomoći EU</v>
      </c>
      <c r="E82" s="261">
        <v>3211</v>
      </c>
      <c r="F82" s="262" t="str">
        <f t="shared" si="21"/>
        <v>Službena putovanja</v>
      </c>
      <c r="G82" s="263" t="s">
        <v>136</v>
      </c>
      <c r="H82" s="262" t="str">
        <f t="shared" si="18"/>
        <v>EU PROJEKTI SVEUČILIŠTA U RIJECI (IZ EVIDENCIJSKIH PRIHODA)</v>
      </c>
      <c r="I82" s="264">
        <v>9000</v>
      </c>
      <c r="J82" s="264">
        <v>3000</v>
      </c>
      <c r="K82" s="264">
        <v>0</v>
      </c>
      <c r="M82" s="265" t="str">
        <f t="shared" si="22"/>
        <v>321</v>
      </c>
      <c r="N82" s="265" t="str">
        <f t="shared" si="23"/>
        <v>32</v>
      </c>
      <c r="R82" s="267">
        <v>3862</v>
      </c>
      <c r="S82" s="265" t="s">
        <v>851</v>
      </c>
      <c r="U82" s="265" t="str">
        <f t="shared" si="24"/>
        <v>38</v>
      </c>
      <c r="V82" s="265" t="str">
        <f t="shared" si="25"/>
        <v>386</v>
      </c>
    </row>
    <row r="83" spans="1:22" s="265" customFormat="1">
      <c r="A83" s="260" t="str">
        <f>IF(C83="","",VLOOKUP('Opći dio'!$C$3,'Opći dio'!$L$6:$U$135,10,FALSE))</f>
        <v>08006</v>
      </c>
      <c r="B83" s="260" t="str">
        <f>IF(C83="","",VLOOKUP('Opći dio'!$C$3,'Opći dio'!$L$6:$U$135,9,FALSE))</f>
        <v>Sveučilišta i veleučilišta u Republici Hrvatskoj</v>
      </c>
      <c r="C83" s="261">
        <v>51</v>
      </c>
      <c r="D83" s="262" t="str">
        <f t="shared" si="17"/>
        <v>Pomoći EU</v>
      </c>
      <c r="E83" s="261">
        <v>3221</v>
      </c>
      <c r="F83" s="262" t="str">
        <f t="shared" si="21"/>
        <v>Uredski materijal i ostali materijalni rashodi</v>
      </c>
      <c r="G83" s="263" t="s">
        <v>136</v>
      </c>
      <c r="H83" s="262" t="str">
        <f t="shared" si="18"/>
        <v>EU PROJEKTI SVEUČILIŠTA U RIJECI (IZ EVIDENCIJSKIH PRIHODA)</v>
      </c>
      <c r="I83" s="264">
        <v>9000</v>
      </c>
      <c r="J83" s="264">
        <v>4000</v>
      </c>
      <c r="K83" s="264">
        <v>0</v>
      </c>
      <c r="M83" s="265" t="str">
        <f t="shared" si="22"/>
        <v>322</v>
      </c>
      <c r="N83" s="265" t="str">
        <f t="shared" si="23"/>
        <v>32</v>
      </c>
      <c r="R83" s="267">
        <v>3863</v>
      </c>
      <c r="S83" s="265" t="s">
        <v>852</v>
      </c>
      <c r="U83" s="265" t="str">
        <f t="shared" si="24"/>
        <v>38</v>
      </c>
      <c r="V83" s="265" t="str">
        <f t="shared" si="25"/>
        <v>386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52</v>
      </c>
      <c r="D84" s="149" t="str">
        <f t="shared" si="17"/>
        <v>Ostale pomoći</v>
      </c>
      <c r="E84" s="154">
        <v>4221</v>
      </c>
      <c r="F84" s="149" t="str">
        <f t="shared" si="21"/>
        <v>Uredska oprema i namještaj</v>
      </c>
      <c r="G84" s="201" t="s">
        <v>194</v>
      </c>
      <c r="H84" s="149" t="str">
        <f t="shared" si="18"/>
        <v>REDOVNA DJELATNOST SVEUČILIŠTA U RIJECI (IZ EVIDENCIJSKIH PRIHODA)</v>
      </c>
      <c r="I84" s="198">
        <v>442500</v>
      </c>
      <c r="J84" s="198">
        <v>0</v>
      </c>
      <c r="K84" s="198">
        <v>0</v>
      </c>
      <c r="M84" s="144" t="str">
        <f t="shared" si="22"/>
        <v>422</v>
      </c>
      <c r="N84" s="144" t="str">
        <f t="shared" si="23"/>
        <v>42</v>
      </c>
      <c r="R84" s="144">
        <v>4111</v>
      </c>
      <c r="S84" s="144" t="s">
        <v>176</v>
      </c>
      <c r="U84" s="144" t="str">
        <f t="shared" ref="U84:U101" si="26">LEFT(R84,2)</f>
        <v>41</v>
      </c>
      <c r="V84" s="144" t="str">
        <f t="shared" ref="V84:V118" si="27">LEFT(R84,3)</f>
        <v>411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52</v>
      </c>
      <c r="D85" s="149" t="str">
        <f t="shared" si="17"/>
        <v>Ostale pomoći</v>
      </c>
      <c r="E85" s="154">
        <v>3235</v>
      </c>
      <c r="F85" s="149" t="str">
        <f t="shared" si="21"/>
        <v>Zakupnine i najamnine</v>
      </c>
      <c r="G85" s="201" t="s">
        <v>194</v>
      </c>
      <c r="H85" s="149" t="str">
        <f t="shared" si="18"/>
        <v>REDOVNA DJELATNOST SVEUČILIŠTA U RIJECI (IZ EVIDENCIJSKIH PRIHODA)</v>
      </c>
      <c r="I85" s="198">
        <v>10000</v>
      </c>
      <c r="J85" s="198">
        <v>10000</v>
      </c>
      <c r="K85" s="198">
        <v>10000</v>
      </c>
      <c r="M85" s="144" t="str">
        <f t="shared" si="22"/>
        <v>323</v>
      </c>
      <c r="N85" s="144" t="str">
        <f t="shared" si="23"/>
        <v>32</v>
      </c>
      <c r="R85" s="144">
        <v>4113</v>
      </c>
      <c r="S85" s="144" t="s">
        <v>210</v>
      </c>
      <c r="U85" s="144" t="str">
        <f t="shared" si="26"/>
        <v>41</v>
      </c>
      <c r="V85" s="144" t="str">
        <f t="shared" si="27"/>
        <v>411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52</v>
      </c>
      <c r="D86" s="149" t="str">
        <f t="shared" si="17"/>
        <v>Ostale pomoći</v>
      </c>
      <c r="E86" s="154">
        <v>3237</v>
      </c>
      <c r="F86" s="149" t="str">
        <f t="shared" si="21"/>
        <v>Intelektualne i osobne usluge</v>
      </c>
      <c r="G86" s="201" t="s">
        <v>194</v>
      </c>
      <c r="H86" s="149" t="str">
        <f t="shared" si="18"/>
        <v>REDOVNA DJELATNOST SVEUČILIŠTA U RIJECI (IZ EVIDENCIJSKIH PRIHODA)</v>
      </c>
      <c r="I86" s="198">
        <v>160000</v>
      </c>
      <c r="J86" s="198">
        <v>160000</v>
      </c>
      <c r="K86" s="198">
        <v>160000</v>
      </c>
      <c r="M86" s="144" t="str">
        <f t="shared" si="22"/>
        <v>323</v>
      </c>
      <c r="N86" s="144" t="str">
        <f t="shared" si="23"/>
        <v>32</v>
      </c>
      <c r="R86" s="144">
        <v>4122</v>
      </c>
      <c r="S86" s="144" t="s">
        <v>177</v>
      </c>
      <c r="U86" s="144" t="str">
        <f t="shared" si="26"/>
        <v>41</v>
      </c>
      <c r="V86" s="144" t="str">
        <f t="shared" si="27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52</v>
      </c>
      <c r="D87" s="149" t="str">
        <f t="shared" si="17"/>
        <v>Ostale pomoći</v>
      </c>
      <c r="E87" s="154">
        <v>3211</v>
      </c>
      <c r="F87" s="149" t="str">
        <f t="shared" si="21"/>
        <v>Službena putovanja</v>
      </c>
      <c r="G87" s="201" t="s">
        <v>194</v>
      </c>
      <c r="H87" s="149" t="str">
        <f t="shared" si="18"/>
        <v>REDOVNA DJELATNOST SVEUČILIŠTA U RIJECI (IZ EVIDENCIJSKIH PRIHODA)</v>
      </c>
      <c r="I87" s="198">
        <v>60000</v>
      </c>
      <c r="J87" s="198">
        <v>60000</v>
      </c>
      <c r="K87" s="198">
        <v>60000</v>
      </c>
      <c r="M87" s="144" t="str">
        <f t="shared" si="22"/>
        <v>321</v>
      </c>
      <c r="N87" s="144" t="str">
        <f t="shared" si="23"/>
        <v>32</v>
      </c>
      <c r="R87" s="144">
        <v>4123</v>
      </c>
      <c r="S87" s="144" t="s">
        <v>148</v>
      </c>
      <c r="U87" s="144" t="str">
        <f t="shared" si="26"/>
        <v>41</v>
      </c>
      <c r="V87" s="144" t="str">
        <f t="shared" si="27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52</v>
      </c>
      <c r="D88" s="149" t="str">
        <f t="shared" si="17"/>
        <v>Ostale pomoći</v>
      </c>
      <c r="E88" s="154">
        <v>3299</v>
      </c>
      <c r="F88" s="149" t="str">
        <f t="shared" si="21"/>
        <v>Ostali nespomenuti rashodi poslovanja</v>
      </c>
      <c r="G88" s="201" t="s">
        <v>194</v>
      </c>
      <c r="H88" s="149" t="str">
        <f t="shared" si="18"/>
        <v>REDOVNA DJELATNOST SVEUČILIŠTA U RIJECI (IZ EVIDENCIJSKIH PRIHODA)</v>
      </c>
      <c r="I88" s="198">
        <v>9000</v>
      </c>
      <c r="J88" s="198">
        <v>9000</v>
      </c>
      <c r="K88" s="198">
        <v>9000</v>
      </c>
      <c r="M88" s="144" t="str">
        <f t="shared" si="22"/>
        <v>329</v>
      </c>
      <c r="N88" s="144" t="str">
        <f t="shared" si="23"/>
        <v>32</v>
      </c>
      <c r="R88" s="144">
        <v>4124</v>
      </c>
      <c r="S88" s="144" t="s">
        <v>133</v>
      </c>
      <c r="U88" s="144" t="str">
        <f t="shared" si="26"/>
        <v>41</v>
      </c>
      <c r="V88" s="144" t="str">
        <f t="shared" si="27"/>
        <v>412</v>
      </c>
    </row>
    <row r="89" spans="1:22">
      <c r="A89" s="148" t="str">
        <f>IF(C89="","",VLOOKUP('Opći dio'!$C$3,'Opći dio'!$L$6:$U$135,10,FALSE))</f>
        <v/>
      </c>
      <c r="B89" s="148" t="str">
        <f>IF(C89="","",VLOOKUP('Opći dio'!$C$3,'Opći dio'!$L$6:$U$135,9,FALSE))</f>
        <v/>
      </c>
      <c r="C89" s="154"/>
      <c r="D89" s="149" t="str">
        <f t="shared" si="17"/>
        <v/>
      </c>
      <c r="E89" s="154"/>
      <c r="F89" s="149" t="str">
        <f t="shared" si="21"/>
        <v/>
      </c>
      <c r="G89" s="201"/>
      <c r="H89" s="149" t="str">
        <f t="shared" si="18"/>
        <v/>
      </c>
      <c r="I89" s="198"/>
      <c r="J89" s="198"/>
      <c r="K89" s="198"/>
      <c r="M89" s="144" t="str">
        <f t="shared" si="22"/>
        <v/>
      </c>
      <c r="N89" s="144" t="str">
        <f t="shared" si="23"/>
        <v/>
      </c>
      <c r="R89" s="144">
        <v>4126</v>
      </c>
      <c r="S89" s="144" t="s">
        <v>178</v>
      </c>
      <c r="U89" s="144" t="str">
        <f t="shared" si="26"/>
        <v>41</v>
      </c>
      <c r="V89" s="144" t="str">
        <f t="shared" si="27"/>
        <v>412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52</v>
      </c>
      <c r="D90" s="149" t="str">
        <f t="shared" si="17"/>
        <v>Ostale pomoći</v>
      </c>
      <c r="E90" s="154">
        <v>3211</v>
      </c>
      <c r="F90" s="149" t="str">
        <f t="shared" si="21"/>
        <v>Službena putovanja</v>
      </c>
      <c r="G90" s="201" t="s">
        <v>136</v>
      </c>
      <c r="H90" s="149" t="str">
        <f t="shared" si="18"/>
        <v>EU PROJEKTI SVEUČILIŠTA U RIJECI (IZ EVIDENCIJSKIH PRIHODA)</v>
      </c>
      <c r="I90" s="198">
        <f>17000+17000</f>
        <v>34000</v>
      </c>
      <c r="J90" s="198">
        <v>0</v>
      </c>
      <c r="K90" s="198">
        <v>3000</v>
      </c>
      <c r="M90" s="144" t="str">
        <f t="shared" si="22"/>
        <v>321</v>
      </c>
      <c r="N90" s="144" t="str">
        <f t="shared" si="23"/>
        <v>32</v>
      </c>
      <c r="R90" s="144">
        <v>4211</v>
      </c>
      <c r="S90" s="144" t="s">
        <v>192</v>
      </c>
      <c r="U90" s="144" t="str">
        <f t="shared" si="26"/>
        <v>42</v>
      </c>
      <c r="V90" s="144" t="str">
        <f t="shared" si="27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52</v>
      </c>
      <c r="D91" s="149" t="str">
        <f t="shared" si="17"/>
        <v>Ostale pomoći</v>
      </c>
      <c r="E91" s="154">
        <v>3221</v>
      </c>
      <c r="F91" s="149" t="str">
        <f t="shared" si="21"/>
        <v>Uredski materijal i ostali materijalni rashodi</v>
      </c>
      <c r="G91" s="201" t="s">
        <v>136</v>
      </c>
      <c r="H91" s="149" t="str">
        <f t="shared" si="18"/>
        <v>EU PROJEKTI SVEUČILIŠTA U RIJECI (IZ EVIDENCIJSKIH PRIHODA)</v>
      </c>
      <c r="I91" s="198">
        <v>6000</v>
      </c>
      <c r="J91" s="198">
        <v>8000</v>
      </c>
      <c r="K91" s="198">
        <v>6000</v>
      </c>
      <c r="M91" s="144" t="str">
        <f t="shared" si="22"/>
        <v>322</v>
      </c>
      <c r="N91" s="144" t="str">
        <f t="shared" si="23"/>
        <v>32</v>
      </c>
      <c r="R91" s="144">
        <v>4212</v>
      </c>
      <c r="S91" s="144" t="s">
        <v>79</v>
      </c>
      <c r="U91" s="144" t="str">
        <f t="shared" si="26"/>
        <v>42</v>
      </c>
      <c r="V91" s="144" t="str">
        <f t="shared" si="27"/>
        <v>421</v>
      </c>
    </row>
    <row r="92" spans="1:22">
      <c r="A92" s="148" t="str">
        <f>IF(C92="","",VLOOKUP('Opći dio'!$C$3,'Opći dio'!$L$6:$U$135,10,FALSE))</f>
        <v>08006</v>
      </c>
      <c r="B92" s="148" t="str">
        <f>IF(C92="","",VLOOKUP('Opći dio'!$C$3,'Opći dio'!$L$6:$U$135,9,FALSE))</f>
        <v>Sveučilišta i veleučilišta u Republici Hrvatskoj</v>
      </c>
      <c r="C92" s="154">
        <v>52</v>
      </c>
      <c r="D92" s="149" t="str">
        <f t="shared" si="17"/>
        <v>Ostale pomoći</v>
      </c>
      <c r="E92" s="154">
        <v>3231</v>
      </c>
      <c r="F92" s="149" t="str">
        <f t="shared" si="21"/>
        <v>Usluge telefona, pošte i prijevoza</v>
      </c>
      <c r="G92" s="201" t="s">
        <v>136</v>
      </c>
      <c r="H92" s="149" t="str">
        <f t="shared" si="18"/>
        <v>EU PROJEKTI SVEUČILIŠTA U RIJECI (IZ EVIDENCIJSKIH PRIHODA)</v>
      </c>
      <c r="I92" s="198">
        <v>5000</v>
      </c>
      <c r="J92" s="198">
        <v>18000</v>
      </c>
      <c r="K92" s="198">
        <v>14000</v>
      </c>
      <c r="M92" s="144" t="str">
        <f t="shared" si="22"/>
        <v>323</v>
      </c>
      <c r="N92" s="144" t="str">
        <f t="shared" si="23"/>
        <v>32</v>
      </c>
      <c r="R92" s="144">
        <v>4213</v>
      </c>
      <c r="S92" s="144" t="s">
        <v>179</v>
      </c>
      <c r="U92" s="144" t="str">
        <f t="shared" si="26"/>
        <v>42</v>
      </c>
      <c r="V92" s="144" t="str">
        <f t="shared" si="27"/>
        <v>421</v>
      </c>
    </row>
    <row r="93" spans="1:22">
      <c r="A93" s="148" t="str">
        <f>IF(C93="","",VLOOKUP('Opći dio'!$C$3,'Opći dio'!$L$6:$U$135,10,FALSE))</f>
        <v>08006</v>
      </c>
      <c r="B93" s="148" t="str">
        <f>IF(C93="","",VLOOKUP('Opći dio'!$C$3,'Opći dio'!$L$6:$U$135,9,FALSE))</f>
        <v>Sveučilišta i veleučilišta u Republici Hrvatskoj</v>
      </c>
      <c r="C93" s="154">
        <v>52</v>
      </c>
      <c r="D93" s="149" t="str">
        <f t="shared" si="17"/>
        <v>Ostale pomoći</v>
      </c>
      <c r="E93" s="154">
        <v>3237</v>
      </c>
      <c r="F93" s="149" t="str">
        <f t="shared" si="21"/>
        <v>Intelektualne i osobne usluge</v>
      </c>
      <c r="G93" s="201" t="s">
        <v>136</v>
      </c>
      <c r="H93" s="149" t="str">
        <f t="shared" si="18"/>
        <v>EU PROJEKTI SVEUČILIŠTA U RIJECI (IZ EVIDENCIJSKIH PRIHODA)</v>
      </c>
      <c r="I93" s="198">
        <v>113000</v>
      </c>
      <c r="J93" s="198">
        <v>104000</v>
      </c>
      <c r="K93" s="198">
        <v>14000</v>
      </c>
      <c r="M93" s="144" t="str">
        <f t="shared" si="22"/>
        <v>323</v>
      </c>
      <c r="N93" s="144" t="str">
        <f t="shared" si="23"/>
        <v>32</v>
      </c>
      <c r="R93" s="144">
        <v>4214</v>
      </c>
      <c r="S93" s="144" t="s">
        <v>180</v>
      </c>
      <c r="U93" s="144" t="str">
        <f t="shared" si="26"/>
        <v>42</v>
      </c>
      <c r="V93" s="144" t="str">
        <f t="shared" si="27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7"/>
        <v/>
      </c>
      <c r="E94" s="154"/>
      <c r="F94" s="149" t="str">
        <f t="shared" si="21"/>
        <v/>
      </c>
      <c r="G94" s="201"/>
      <c r="H94" s="149" t="str">
        <f t="shared" si="18"/>
        <v/>
      </c>
      <c r="I94" s="198"/>
      <c r="J94" s="198"/>
      <c r="K94" s="198"/>
      <c r="M94" s="144" t="str">
        <f t="shared" si="22"/>
        <v/>
      </c>
      <c r="N94" s="144" t="str">
        <f t="shared" si="23"/>
        <v/>
      </c>
      <c r="R94" s="144">
        <v>4221</v>
      </c>
      <c r="S94" s="144" t="s">
        <v>114</v>
      </c>
      <c r="U94" s="144" t="str">
        <f t="shared" si="26"/>
        <v>42</v>
      </c>
      <c r="V94" s="144" t="str">
        <f t="shared" si="27"/>
        <v>422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52</v>
      </c>
      <c r="D95" s="149" t="str">
        <f t="shared" si="17"/>
        <v>Ostale pomoći</v>
      </c>
      <c r="E95" s="154">
        <v>3111</v>
      </c>
      <c r="F95" s="149" t="str">
        <f t="shared" si="21"/>
        <v>Plaće za redovan rad</v>
      </c>
      <c r="G95" s="201" t="s">
        <v>136</v>
      </c>
      <c r="H95" s="149" t="str">
        <f t="shared" si="18"/>
        <v>EU PROJEKTI SVEUČILIŠTA U RIJECI (IZ EVIDENCIJSKIH PRIHODA)</v>
      </c>
      <c r="I95" s="198">
        <v>516000</v>
      </c>
      <c r="J95" s="198">
        <v>516000</v>
      </c>
      <c r="K95" s="198">
        <v>484000</v>
      </c>
      <c r="M95" s="144" t="str">
        <f t="shared" si="22"/>
        <v>311</v>
      </c>
      <c r="N95" s="144" t="str">
        <f t="shared" si="23"/>
        <v>31</v>
      </c>
      <c r="R95" s="144">
        <v>4222</v>
      </c>
      <c r="S95" s="144" t="s">
        <v>125</v>
      </c>
      <c r="U95" s="144" t="str">
        <f t="shared" si="26"/>
        <v>42</v>
      </c>
      <c r="V95" s="144" t="str">
        <f t="shared" si="27"/>
        <v>422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52</v>
      </c>
      <c r="D96" s="149" t="str">
        <f t="shared" si="17"/>
        <v>Ostale pomoći</v>
      </c>
      <c r="E96" s="154">
        <v>3211</v>
      </c>
      <c r="F96" s="149" t="str">
        <f t="shared" si="21"/>
        <v>Službena putovanja</v>
      </c>
      <c r="G96" s="201" t="s">
        <v>136</v>
      </c>
      <c r="H96" s="149" t="str">
        <f t="shared" si="18"/>
        <v>EU PROJEKTI SVEUČILIŠTA U RIJECI (IZ EVIDENCIJSKIH PRIHODA)</v>
      </c>
      <c r="I96" s="198">
        <v>5000</v>
      </c>
      <c r="J96" s="198">
        <v>42000</v>
      </c>
      <c r="K96" s="198">
        <v>42000</v>
      </c>
      <c r="M96" s="144" t="str">
        <f t="shared" si="22"/>
        <v>321</v>
      </c>
      <c r="N96" s="144" t="str">
        <f t="shared" si="23"/>
        <v>32</v>
      </c>
      <c r="R96" s="144">
        <v>4223</v>
      </c>
      <c r="S96" s="144" t="s">
        <v>138</v>
      </c>
      <c r="U96" s="144" t="str">
        <f t="shared" si="26"/>
        <v>42</v>
      </c>
      <c r="V96" s="144" t="str">
        <f t="shared" si="27"/>
        <v>422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52</v>
      </c>
      <c r="D97" s="149" t="str">
        <f t="shared" si="17"/>
        <v>Ostale pomoći</v>
      </c>
      <c r="E97" s="154">
        <v>3221</v>
      </c>
      <c r="F97" s="149" t="str">
        <f t="shared" si="21"/>
        <v>Uredski materijal i ostali materijalni rashodi</v>
      </c>
      <c r="G97" s="201" t="s">
        <v>136</v>
      </c>
      <c r="H97" s="149" t="str">
        <f t="shared" si="18"/>
        <v>EU PROJEKTI SVEUČILIŠTA U RIJECI (IZ EVIDENCIJSKIH PRIHODA)</v>
      </c>
      <c r="I97" s="198">
        <v>77000</v>
      </c>
      <c r="J97" s="198">
        <v>77000</v>
      </c>
      <c r="K97" s="198">
        <v>73000</v>
      </c>
      <c r="M97" s="144" t="str">
        <f t="shared" si="22"/>
        <v>322</v>
      </c>
      <c r="N97" s="144" t="str">
        <f t="shared" si="23"/>
        <v>32</v>
      </c>
      <c r="R97" s="144">
        <v>4224</v>
      </c>
      <c r="S97" s="144" t="s">
        <v>131</v>
      </c>
      <c r="U97" s="144" t="str">
        <f t="shared" si="26"/>
        <v>42</v>
      </c>
      <c r="V97" s="144" t="str">
        <f t="shared" si="27"/>
        <v>422</v>
      </c>
    </row>
    <row r="98" spans="1:22">
      <c r="A98" s="148" t="str">
        <f>IF(C98="","",VLOOKUP('Opći dio'!$C$3,'Opći dio'!$L$6:$U$135,10,FALSE))</f>
        <v>08006</v>
      </c>
      <c r="B98" s="148" t="str">
        <f>IF(C98="","",VLOOKUP('Opći dio'!$C$3,'Opći dio'!$L$6:$U$135,9,FALSE))</f>
        <v>Sveučilišta i veleučilišta u Republici Hrvatskoj</v>
      </c>
      <c r="C98" s="154">
        <v>52</v>
      </c>
      <c r="D98" s="149" t="str">
        <f t="shared" si="17"/>
        <v>Ostale pomoći</v>
      </c>
      <c r="E98" s="154">
        <v>3237</v>
      </c>
      <c r="F98" s="149" t="str">
        <f t="shared" si="21"/>
        <v>Intelektualne i osobne usluge</v>
      </c>
      <c r="G98" s="201" t="s">
        <v>136</v>
      </c>
      <c r="H98" s="149" t="str">
        <f t="shared" si="18"/>
        <v>EU PROJEKTI SVEUČILIŠTA U RIJECI (IZ EVIDENCIJSKIH PRIHODA)</v>
      </c>
      <c r="I98" s="198">
        <v>124000</v>
      </c>
      <c r="J98" s="198">
        <v>252000</v>
      </c>
      <c r="K98" s="198">
        <v>140000</v>
      </c>
      <c r="M98" s="144" t="str">
        <f t="shared" si="22"/>
        <v>323</v>
      </c>
      <c r="N98" s="144" t="str">
        <f t="shared" si="23"/>
        <v>32</v>
      </c>
      <c r="R98" s="144">
        <v>4225</v>
      </c>
      <c r="S98" s="144" t="s">
        <v>135</v>
      </c>
      <c r="U98" s="144" t="str">
        <f t="shared" si="26"/>
        <v>42</v>
      </c>
      <c r="V98" s="144" t="str">
        <f t="shared" si="27"/>
        <v>422</v>
      </c>
    </row>
    <row r="99" spans="1:22">
      <c r="A99" s="148" t="str">
        <f>IF(C99="","",VLOOKUP('Opći dio'!$C$3,'Opći dio'!$L$6:$U$135,10,FALSE))</f>
        <v>08006</v>
      </c>
      <c r="B99" s="148" t="str">
        <f>IF(C99="","",VLOOKUP('Opći dio'!$C$3,'Opći dio'!$L$6:$U$135,9,FALSE))</f>
        <v>Sveučilišta i veleučilišta u Republici Hrvatskoj</v>
      </c>
      <c r="C99" s="154">
        <v>52</v>
      </c>
      <c r="D99" s="149" t="str">
        <f t="shared" si="17"/>
        <v>Ostale pomoći</v>
      </c>
      <c r="E99" s="154">
        <v>4221</v>
      </c>
      <c r="F99" s="149" t="str">
        <f t="shared" si="21"/>
        <v>Uredska oprema i namještaj</v>
      </c>
      <c r="G99" s="201" t="s">
        <v>136</v>
      </c>
      <c r="H99" s="149" t="str">
        <f t="shared" si="18"/>
        <v>EU PROJEKTI SVEUČILIŠTA U RIJECI (IZ EVIDENCIJSKIH PRIHODA)</v>
      </c>
      <c r="I99" s="198">
        <v>235000</v>
      </c>
      <c r="J99" s="198"/>
      <c r="K99" s="198"/>
      <c r="M99" s="144" t="str">
        <f t="shared" si="22"/>
        <v>422</v>
      </c>
      <c r="N99" s="144" t="str">
        <f t="shared" si="23"/>
        <v>42</v>
      </c>
      <c r="R99" s="144">
        <v>4226</v>
      </c>
      <c r="S99" s="144" t="s">
        <v>181</v>
      </c>
      <c r="U99" s="144" t="str">
        <f t="shared" si="26"/>
        <v>42</v>
      </c>
      <c r="V99" s="144" t="str">
        <f t="shared" si="27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7"/>
        <v/>
      </c>
      <c r="E100" s="154"/>
      <c r="F100" s="149" t="str">
        <f t="shared" si="21"/>
        <v/>
      </c>
      <c r="G100" s="201"/>
      <c r="H100" s="149" t="str">
        <f t="shared" si="18"/>
        <v/>
      </c>
      <c r="I100" s="198"/>
      <c r="J100" s="198"/>
      <c r="K100" s="198"/>
      <c r="M100" s="144" t="str">
        <f t="shared" si="22"/>
        <v/>
      </c>
      <c r="N100" s="144" t="str">
        <f t="shared" si="23"/>
        <v/>
      </c>
      <c r="R100" s="144">
        <v>4227</v>
      </c>
      <c r="S100" s="144" t="s">
        <v>149</v>
      </c>
      <c r="U100" s="144" t="str">
        <f t="shared" si="26"/>
        <v>42</v>
      </c>
      <c r="V100" s="144" t="str">
        <f t="shared" si="27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7"/>
        <v/>
      </c>
      <c r="E101" s="154"/>
      <c r="F101" s="149" t="str">
        <f t="shared" si="21"/>
        <v/>
      </c>
      <c r="G101" s="201"/>
      <c r="H101" s="149" t="str">
        <f t="shared" si="18"/>
        <v/>
      </c>
      <c r="I101" s="198"/>
      <c r="J101" s="198"/>
      <c r="K101" s="198"/>
      <c r="M101" s="144" t="str">
        <f t="shared" si="22"/>
        <v/>
      </c>
      <c r="N101" s="144" t="str">
        <f t="shared" si="23"/>
        <v/>
      </c>
      <c r="R101" s="144">
        <v>4231</v>
      </c>
      <c r="S101" s="144" t="s">
        <v>182</v>
      </c>
      <c r="U101" s="144" t="str">
        <f t="shared" si="26"/>
        <v>42</v>
      </c>
      <c r="V101" s="144" t="str">
        <f t="shared" si="27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7"/>
        <v/>
      </c>
      <c r="E102" s="154"/>
      <c r="F102" s="149" t="str">
        <f t="shared" si="21"/>
        <v/>
      </c>
      <c r="G102" s="201"/>
      <c r="H102" s="149" t="str">
        <f t="shared" si="18"/>
        <v/>
      </c>
      <c r="I102" s="198"/>
      <c r="J102" s="198"/>
      <c r="K102" s="198"/>
      <c r="M102" s="144" t="str">
        <f t="shared" si="22"/>
        <v/>
      </c>
      <c r="N102" s="144" t="str">
        <f t="shared" si="23"/>
        <v/>
      </c>
      <c r="R102" s="144">
        <v>4233</v>
      </c>
      <c r="S102" s="144" t="s">
        <v>190</v>
      </c>
      <c r="U102" s="144" t="str">
        <f t="shared" ref="U102:U129" si="28">LEFT(R102,2)</f>
        <v>42</v>
      </c>
      <c r="V102" s="144" t="str">
        <f t="shared" si="27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7"/>
        <v/>
      </c>
      <c r="E103" s="154"/>
      <c r="F103" s="149" t="str">
        <f t="shared" si="21"/>
        <v/>
      </c>
      <c r="G103" s="201"/>
      <c r="H103" s="149" t="str">
        <f t="shared" si="18"/>
        <v/>
      </c>
      <c r="I103" s="198"/>
      <c r="J103" s="198"/>
      <c r="K103" s="198"/>
      <c r="M103" s="144" t="str">
        <f t="shared" si="22"/>
        <v/>
      </c>
      <c r="N103" s="144" t="str">
        <f t="shared" si="23"/>
        <v/>
      </c>
      <c r="R103" s="144">
        <v>4241</v>
      </c>
      <c r="S103" s="144" t="s">
        <v>126</v>
      </c>
      <c r="U103" s="144" t="str">
        <f t="shared" si="28"/>
        <v>42</v>
      </c>
      <c r="V103" s="144" t="str">
        <f t="shared" si="27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7"/>
        <v/>
      </c>
      <c r="E104" s="154"/>
      <c r="F104" s="149" t="str">
        <f t="shared" si="21"/>
        <v/>
      </c>
      <c r="G104" s="201"/>
      <c r="H104" s="149" t="str">
        <f t="shared" si="18"/>
        <v/>
      </c>
      <c r="I104" s="198"/>
      <c r="J104" s="198"/>
      <c r="K104" s="198"/>
      <c r="M104" s="144" t="str">
        <f t="shared" si="22"/>
        <v/>
      </c>
      <c r="N104" s="144" t="str">
        <f t="shared" si="23"/>
        <v/>
      </c>
      <c r="R104" s="144">
        <v>4242</v>
      </c>
      <c r="S104" s="144" t="s">
        <v>159</v>
      </c>
      <c r="U104" s="144" t="str">
        <f t="shared" si="28"/>
        <v>42</v>
      </c>
      <c r="V104" s="144" t="str">
        <f t="shared" si="27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7"/>
        <v/>
      </c>
      <c r="E105" s="154"/>
      <c r="F105" s="149" t="str">
        <f t="shared" si="21"/>
        <v/>
      </c>
      <c r="G105" s="201"/>
      <c r="H105" s="149" t="str">
        <f t="shared" si="18"/>
        <v/>
      </c>
      <c r="I105" s="198"/>
      <c r="J105" s="198"/>
      <c r="K105" s="198"/>
      <c r="M105" s="144" t="str">
        <f t="shared" si="22"/>
        <v/>
      </c>
      <c r="N105" s="144" t="str">
        <f t="shared" si="23"/>
        <v/>
      </c>
      <c r="R105" s="144">
        <v>4244</v>
      </c>
      <c r="S105" s="144" t="s">
        <v>191</v>
      </c>
      <c r="U105" s="144" t="str">
        <f t="shared" si="28"/>
        <v>42</v>
      </c>
      <c r="V105" s="144" t="str">
        <f t="shared" si="27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7"/>
        <v/>
      </c>
      <c r="E106" s="154"/>
      <c r="F106" s="149" t="str">
        <f t="shared" si="21"/>
        <v/>
      </c>
      <c r="G106" s="201"/>
      <c r="H106" s="149" t="str">
        <f t="shared" si="18"/>
        <v/>
      </c>
      <c r="I106" s="198"/>
      <c r="J106" s="198"/>
      <c r="K106" s="198"/>
      <c r="M106" s="144" t="str">
        <f t="shared" si="22"/>
        <v/>
      </c>
      <c r="N106" s="144" t="str">
        <f t="shared" si="23"/>
        <v/>
      </c>
      <c r="R106" s="144">
        <v>4251</v>
      </c>
      <c r="S106" s="144" t="s">
        <v>183</v>
      </c>
      <c r="U106" s="144" t="str">
        <f t="shared" si="28"/>
        <v>42</v>
      </c>
      <c r="V106" s="144" t="str">
        <f t="shared" si="27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7"/>
        <v/>
      </c>
      <c r="E107" s="154"/>
      <c r="F107" s="149" t="str">
        <f t="shared" si="21"/>
        <v/>
      </c>
      <c r="G107" s="201"/>
      <c r="H107" s="149" t="str">
        <f t="shared" si="18"/>
        <v/>
      </c>
      <c r="I107" s="198"/>
      <c r="J107" s="198"/>
      <c r="K107" s="198"/>
      <c r="M107" s="144" t="str">
        <f t="shared" si="22"/>
        <v/>
      </c>
      <c r="N107" s="144" t="str">
        <f t="shared" si="23"/>
        <v/>
      </c>
      <c r="R107" s="144">
        <v>4252</v>
      </c>
      <c r="S107" s="144" t="s">
        <v>184</v>
      </c>
      <c r="U107" s="144" t="str">
        <f t="shared" si="28"/>
        <v>42</v>
      </c>
      <c r="V107" s="144" t="str">
        <f t="shared" si="27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7"/>
        <v/>
      </c>
      <c r="E108" s="154"/>
      <c r="F108" s="149" t="str">
        <f t="shared" si="21"/>
        <v/>
      </c>
      <c r="G108" s="201"/>
      <c r="H108" s="149" t="str">
        <f t="shared" si="18"/>
        <v/>
      </c>
      <c r="I108" s="198"/>
      <c r="J108" s="198"/>
      <c r="K108" s="198"/>
      <c r="M108" s="144" t="str">
        <f t="shared" si="22"/>
        <v/>
      </c>
      <c r="N108" s="144" t="str">
        <f t="shared" si="23"/>
        <v/>
      </c>
      <c r="R108" s="144">
        <v>4262</v>
      </c>
      <c r="S108" s="144" t="s">
        <v>127</v>
      </c>
      <c r="U108" s="144" t="str">
        <f t="shared" si="28"/>
        <v>42</v>
      </c>
      <c r="V108" s="144" t="str">
        <f t="shared" si="27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7"/>
        <v/>
      </c>
      <c r="E109" s="154"/>
      <c r="F109" s="149" t="str">
        <f t="shared" si="21"/>
        <v/>
      </c>
      <c r="G109" s="201"/>
      <c r="H109" s="149" t="str">
        <f t="shared" si="18"/>
        <v/>
      </c>
      <c r="I109" s="198"/>
      <c r="J109" s="198"/>
      <c r="K109" s="198"/>
      <c r="M109" s="144" t="str">
        <f t="shared" si="22"/>
        <v/>
      </c>
      <c r="N109" s="144" t="str">
        <f t="shared" si="23"/>
        <v/>
      </c>
      <c r="R109" s="144">
        <v>4263</v>
      </c>
      <c r="S109" s="144" t="s">
        <v>185</v>
      </c>
      <c r="U109" s="144" t="str">
        <f t="shared" si="28"/>
        <v>42</v>
      </c>
      <c r="V109" s="144" t="str">
        <f t="shared" si="27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7"/>
        <v/>
      </c>
      <c r="E110" s="154"/>
      <c r="F110" s="149" t="str">
        <f t="shared" si="21"/>
        <v/>
      </c>
      <c r="G110" s="201"/>
      <c r="H110" s="149" t="str">
        <f t="shared" si="18"/>
        <v/>
      </c>
      <c r="I110" s="198"/>
      <c r="J110" s="198"/>
      <c r="K110" s="198"/>
      <c r="M110" s="144" t="str">
        <f t="shared" si="22"/>
        <v/>
      </c>
      <c r="N110" s="144" t="str">
        <f t="shared" si="23"/>
        <v/>
      </c>
      <c r="R110" s="144">
        <v>4264</v>
      </c>
      <c r="S110" s="144" t="s">
        <v>139</v>
      </c>
      <c r="U110" s="144" t="str">
        <f t="shared" si="28"/>
        <v>42</v>
      </c>
      <c r="V110" s="144" t="str">
        <f t="shared" si="27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7"/>
        <v/>
      </c>
      <c r="E111" s="154"/>
      <c r="F111" s="149" t="str">
        <f t="shared" si="21"/>
        <v/>
      </c>
      <c r="G111" s="201"/>
      <c r="H111" s="149" t="str">
        <f t="shared" si="18"/>
        <v/>
      </c>
      <c r="I111" s="198"/>
      <c r="J111" s="198"/>
      <c r="K111" s="198"/>
      <c r="M111" s="144" t="str">
        <f t="shared" si="22"/>
        <v/>
      </c>
      <c r="N111" s="144" t="str">
        <f t="shared" si="23"/>
        <v/>
      </c>
      <c r="R111" s="144">
        <v>4312</v>
      </c>
      <c r="S111" s="144" t="s">
        <v>141</v>
      </c>
      <c r="U111" s="144" t="str">
        <f t="shared" si="28"/>
        <v>43</v>
      </c>
      <c r="V111" s="144" t="str">
        <f t="shared" si="27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7"/>
        <v/>
      </c>
      <c r="E112" s="154"/>
      <c r="F112" s="149" t="str">
        <f t="shared" si="21"/>
        <v/>
      </c>
      <c r="G112" s="201"/>
      <c r="H112" s="149" t="str">
        <f t="shared" si="18"/>
        <v/>
      </c>
      <c r="I112" s="198"/>
      <c r="J112" s="198"/>
      <c r="K112" s="198"/>
      <c r="M112" s="144" t="str">
        <f t="shared" si="22"/>
        <v/>
      </c>
      <c r="N112" s="144" t="str">
        <f t="shared" si="23"/>
        <v/>
      </c>
      <c r="R112" s="144">
        <v>4411</v>
      </c>
      <c r="S112" s="144" t="s">
        <v>186</v>
      </c>
      <c r="U112" s="144" t="str">
        <f t="shared" si="28"/>
        <v>44</v>
      </c>
      <c r="V112" s="144" t="str">
        <f t="shared" si="27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7"/>
        <v/>
      </c>
      <c r="E113" s="154"/>
      <c r="F113" s="149" t="str">
        <f t="shared" si="21"/>
        <v/>
      </c>
      <c r="G113" s="201"/>
      <c r="H113" s="149" t="str">
        <f t="shared" si="18"/>
        <v/>
      </c>
      <c r="I113" s="198"/>
      <c r="J113" s="198"/>
      <c r="K113" s="198"/>
      <c r="M113" s="144" t="str">
        <f t="shared" si="22"/>
        <v/>
      </c>
      <c r="N113" s="144" t="str">
        <f t="shared" si="23"/>
        <v/>
      </c>
      <c r="R113" s="144">
        <v>4511</v>
      </c>
      <c r="S113" s="144" t="s">
        <v>140</v>
      </c>
      <c r="U113" s="144" t="str">
        <f t="shared" si="28"/>
        <v>45</v>
      </c>
      <c r="V113" s="144" t="str">
        <f t="shared" si="27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7"/>
        <v/>
      </c>
      <c r="E114" s="154"/>
      <c r="F114" s="149" t="str">
        <f t="shared" si="21"/>
        <v/>
      </c>
      <c r="G114" s="201"/>
      <c r="H114" s="149" t="str">
        <f t="shared" si="18"/>
        <v/>
      </c>
      <c r="I114" s="198"/>
      <c r="J114" s="198"/>
      <c r="K114" s="198"/>
      <c r="M114" s="144" t="str">
        <f t="shared" si="22"/>
        <v/>
      </c>
      <c r="N114" s="144" t="str">
        <f t="shared" si="23"/>
        <v/>
      </c>
      <c r="R114" s="144">
        <v>4521</v>
      </c>
      <c r="S114" s="144" t="s">
        <v>160</v>
      </c>
      <c r="U114" s="144" t="str">
        <f t="shared" si="28"/>
        <v>45</v>
      </c>
      <c r="V114" s="144" t="str">
        <f t="shared" si="27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7"/>
        <v/>
      </c>
      <c r="E115" s="154"/>
      <c r="F115" s="149" t="str">
        <f t="shared" si="21"/>
        <v/>
      </c>
      <c r="G115" s="201"/>
      <c r="H115" s="149" t="str">
        <f t="shared" si="18"/>
        <v/>
      </c>
      <c r="I115" s="198"/>
      <c r="J115" s="198"/>
      <c r="K115" s="198"/>
      <c r="M115" s="144" t="str">
        <f t="shared" si="22"/>
        <v/>
      </c>
      <c r="N115" s="144" t="str">
        <f t="shared" si="23"/>
        <v/>
      </c>
      <c r="R115" s="144">
        <v>4531</v>
      </c>
      <c r="S115" s="144" t="s">
        <v>203</v>
      </c>
      <c r="U115" s="144" t="str">
        <f t="shared" si="28"/>
        <v>45</v>
      </c>
      <c r="V115" s="144" t="str">
        <f t="shared" si="27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7"/>
        <v/>
      </c>
      <c r="E116" s="154"/>
      <c r="F116" s="149" t="str">
        <f t="shared" si="21"/>
        <v/>
      </c>
      <c r="G116" s="201"/>
      <c r="H116" s="149" t="str">
        <f t="shared" si="18"/>
        <v/>
      </c>
      <c r="I116" s="198"/>
      <c r="J116" s="198"/>
      <c r="K116" s="198"/>
      <c r="M116" s="144" t="str">
        <f t="shared" si="22"/>
        <v/>
      </c>
      <c r="N116" s="144" t="str">
        <f t="shared" si="23"/>
        <v/>
      </c>
      <c r="R116" s="144">
        <v>4541</v>
      </c>
      <c r="S116" s="144" t="s">
        <v>155</v>
      </c>
      <c r="U116" s="144" t="str">
        <f t="shared" si="28"/>
        <v>45</v>
      </c>
      <c r="V116" s="144" t="str">
        <f t="shared" si="27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7"/>
        <v/>
      </c>
      <c r="E117" s="154"/>
      <c r="F117" s="149" t="str">
        <f t="shared" si="21"/>
        <v/>
      </c>
      <c r="G117" s="201"/>
      <c r="H117" s="149" t="str">
        <f t="shared" si="18"/>
        <v/>
      </c>
      <c r="I117" s="198"/>
      <c r="J117" s="198"/>
      <c r="K117" s="198"/>
      <c r="M117" s="144" t="str">
        <f t="shared" si="22"/>
        <v/>
      </c>
      <c r="N117" s="144" t="str">
        <f t="shared" si="23"/>
        <v/>
      </c>
      <c r="R117" s="144">
        <v>5121</v>
      </c>
      <c r="S117" s="144" t="s">
        <v>211</v>
      </c>
      <c r="U117" s="144" t="str">
        <f t="shared" si="28"/>
        <v>51</v>
      </c>
      <c r="V117" s="144" t="str">
        <f t="shared" si="27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7"/>
        <v/>
      </c>
      <c r="E118" s="154"/>
      <c r="F118" s="149" t="str">
        <f t="shared" si="21"/>
        <v/>
      </c>
      <c r="G118" s="201"/>
      <c r="H118" s="149" t="str">
        <f t="shared" si="18"/>
        <v/>
      </c>
      <c r="I118" s="198"/>
      <c r="J118" s="198"/>
      <c r="K118" s="198"/>
      <c r="M118" s="144" t="str">
        <f t="shared" si="22"/>
        <v/>
      </c>
      <c r="N118" s="144" t="str">
        <f t="shared" si="23"/>
        <v/>
      </c>
      <c r="R118" s="144">
        <v>5443</v>
      </c>
      <c r="S118" s="144" t="s">
        <v>187</v>
      </c>
      <c r="U118" s="144" t="str">
        <f t="shared" si="28"/>
        <v>54</v>
      </c>
      <c r="V118" s="144" t="str">
        <f t="shared" si="27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7"/>
        <v/>
      </c>
      <c r="E119" s="154"/>
      <c r="F119" s="149" t="str">
        <f t="shared" si="21"/>
        <v/>
      </c>
      <c r="G119" s="201"/>
      <c r="H119" s="149" t="str">
        <f t="shared" si="18"/>
        <v/>
      </c>
      <c r="I119" s="198"/>
      <c r="J119" s="198"/>
      <c r="K119" s="198"/>
      <c r="M119" s="144" t="str">
        <f t="shared" si="22"/>
        <v/>
      </c>
      <c r="N119" s="144" t="str">
        <f t="shared" si="23"/>
        <v/>
      </c>
      <c r="R119" s="144">
        <v>5121</v>
      </c>
      <c r="S119" s="144" t="s">
        <v>820</v>
      </c>
      <c r="U119" s="144" t="str">
        <f t="shared" si="28"/>
        <v>51</v>
      </c>
      <c r="V119" s="144" t="str">
        <f t="shared" ref="V119:V129" si="29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7"/>
        <v/>
      </c>
      <c r="E120" s="154"/>
      <c r="F120" s="149" t="str">
        <f t="shared" si="21"/>
        <v/>
      </c>
      <c r="G120" s="201"/>
      <c r="H120" s="149" t="str">
        <f t="shared" si="18"/>
        <v/>
      </c>
      <c r="I120" s="198"/>
      <c r="J120" s="198"/>
      <c r="K120" s="198"/>
      <c r="M120" s="144" t="str">
        <f t="shared" si="22"/>
        <v/>
      </c>
      <c r="N120" s="144" t="str">
        <f t="shared" si="23"/>
        <v/>
      </c>
      <c r="R120" s="144">
        <v>5122</v>
      </c>
      <c r="S120" s="144" t="s">
        <v>821</v>
      </c>
      <c r="U120" s="144" t="str">
        <f t="shared" si="28"/>
        <v>51</v>
      </c>
      <c r="V120" s="144" t="str">
        <f t="shared" si="29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7"/>
        <v/>
      </c>
      <c r="E121" s="154"/>
      <c r="F121" s="149" t="str">
        <f t="shared" si="21"/>
        <v/>
      </c>
      <c r="G121" s="201"/>
      <c r="H121" s="149" t="str">
        <f t="shared" si="18"/>
        <v/>
      </c>
      <c r="I121" s="198"/>
      <c r="J121" s="198"/>
      <c r="K121" s="198"/>
      <c r="M121" s="144" t="str">
        <f t="shared" si="22"/>
        <v/>
      </c>
      <c r="N121" s="144" t="str">
        <f t="shared" si="23"/>
        <v/>
      </c>
      <c r="R121" s="144">
        <v>5141</v>
      </c>
      <c r="S121" s="144" t="s">
        <v>822</v>
      </c>
      <c r="U121" s="144" t="str">
        <f t="shared" si="28"/>
        <v>51</v>
      </c>
      <c r="V121" s="144" t="str">
        <f t="shared" si="29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7"/>
        <v/>
      </c>
      <c r="E122" s="154"/>
      <c r="F122" s="149" t="str">
        <f t="shared" si="21"/>
        <v/>
      </c>
      <c r="G122" s="201"/>
      <c r="H122" s="149" t="str">
        <f t="shared" si="18"/>
        <v/>
      </c>
      <c r="I122" s="198"/>
      <c r="J122" s="198"/>
      <c r="K122" s="198"/>
      <c r="M122" s="144" t="str">
        <f t="shared" si="22"/>
        <v/>
      </c>
      <c r="N122" s="144" t="str">
        <f t="shared" si="23"/>
        <v/>
      </c>
      <c r="R122" s="144">
        <v>5181</v>
      </c>
      <c r="S122" s="144" t="s">
        <v>823</v>
      </c>
      <c r="U122" s="144" t="str">
        <f t="shared" si="28"/>
        <v>51</v>
      </c>
      <c r="V122" s="144" t="str">
        <f t="shared" si="29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7"/>
        <v/>
      </c>
      <c r="E123" s="154"/>
      <c r="F123" s="149" t="str">
        <f t="shared" si="21"/>
        <v/>
      </c>
      <c r="G123" s="201"/>
      <c r="H123" s="149" t="str">
        <f t="shared" si="18"/>
        <v/>
      </c>
      <c r="I123" s="198"/>
      <c r="J123" s="198"/>
      <c r="K123" s="198"/>
      <c r="M123" s="144" t="str">
        <f t="shared" si="22"/>
        <v/>
      </c>
      <c r="N123" s="144" t="str">
        <f t="shared" si="23"/>
        <v/>
      </c>
      <c r="R123" s="144">
        <v>5183</v>
      </c>
      <c r="S123" s="144" t="s">
        <v>824</v>
      </c>
      <c r="U123" s="144" t="str">
        <f t="shared" si="28"/>
        <v>51</v>
      </c>
      <c r="V123" s="144" t="str">
        <f t="shared" si="29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7"/>
        <v/>
      </c>
      <c r="E124" s="154"/>
      <c r="F124" s="149" t="str">
        <f t="shared" si="21"/>
        <v/>
      </c>
      <c r="G124" s="201"/>
      <c r="H124" s="149" t="str">
        <f t="shared" si="18"/>
        <v/>
      </c>
      <c r="I124" s="198"/>
      <c r="J124" s="198"/>
      <c r="K124" s="198"/>
      <c r="M124" s="144" t="str">
        <f t="shared" si="22"/>
        <v/>
      </c>
      <c r="N124" s="144" t="str">
        <f t="shared" si="23"/>
        <v/>
      </c>
      <c r="R124" s="144">
        <v>5422</v>
      </c>
      <c r="S124" s="144" t="s">
        <v>825</v>
      </c>
      <c r="U124" s="144" t="str">
        <f t="shared" si="28"/>
        <v>54</v>
      </c>
      <c r="V124" s="144" t="str">
        <f t="shared" si="29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7"/>
        <v/>
      </c>
      <c r="E125" s="154"/>
      <c r="F125" s="149" t="str">
        <f t="shared" si="21"/>
        <v/>
      </c>
      <c r="G125" s="201"/>
      <c r="H125" s="149" t="str">
        <f t="shared" si="18"/>
        <v/>
      </c>
      <c r="I125" s="198"/>
      <c r="J125" s="198"/>
      <c r="K125" s="198"/>
      <c r="M125" s="144" t="str">
        <f t="shared" si="22"/>
        <v/>
      </c>
      <c r="N125" s="144" t="str">
        <f t="shared" si="23"/>
        <v/>
      </c>
      <c r="R125" s="144">
        <v>5431</v>
      </c>
      <c r="S125" s="144" t="s">
        <v>390</v>
      </c>
      <c r="U125" s="144" t="str">
        <f t="shared" si="28"/>
        <v>54</v>
      </c>
      <c r="V125" s="144" t="str">
        <f t="shared" si="29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7"/>
        <v/>
      </c>
      <c r="E126" s="154"/>
      <c r="F126" s="149" t="str">
        <f t="shared" si="21"/>
        <v/>
      </c>
      <c r="G126" s="201"/>
      <c r="H126" s="149" t="str">
        <f t="shared" si="18"/>
        <v/>
      </c>
      <c r="I126" s="198"/>
      <c r="J126" s="198"/>
      <c r="K126" s="198"/>
      <c r="M126" s="144" t="str">
        <f t="shared" si="22"/>
        <v/>
      </c>
      <c r="N126" s="144" t="str">
        <f t="shared" si="23"/>
        <v/>
      </c>
      <c r="R126" s="144">
        <v>5443</v>
      </c>
      <c r="S126" s="144" t="s">
        <v>826</v>
      </c>
      <c r="U126" s="144" t="str">
        <f t="shared" si="28"/>
        <v>54</v>
      </c>
      <c r="V126" s="144" t="str">
        <f t="shared" si="29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7"/>
        <v/>
      </c>
      <c r="E127" s="154"/>
      <c r="F127" s="149" t="str">
        <f t="shared" si="21"/>
        <v/>
      </c>
      <c r="G127" s="201"/>
      <c r="H127" s="149" t="str">
        <f t="shared" si="18"/>
        <v/>
      </c>
      <c r="I127" s="198"/>
      <c r="J127" s="198"/>
      <c r="K127" s="198"/>
      <c r="M127" s="144" t="str">
        <f t="shared" si="22"/>
        <v/>
      </c>
      <c r="N127" s="144" t="str">
        <f t="shared" si="23"/>
        <v/>
      </c>
      <c r="R127" s="144">
        <v>5445</v>
      </c>
      <c r="S127" s="144" t="s">
        <v>827</v>
      </c>
      <c r="U127" s="144" t="str">
        <f t="shared" si="28"/>
        <v>54</v>
      </c>
      <c r="V127" s="144" t="str">
        <f t="shared" si="29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7"/>
        <v/>
      </c>
      <c r="E128" s="154"/>
      <c r="F128" s="149" t="str">
        <f t="shared" si="21"/>
        <v/>
      </c>
      <c r="G128" s="201"/>
      <c r="H128" s="149" t="str">
        <f t="shared" si="18"/>
        <v/>
      </c>
      <c r="I128" s="198"/>
      <c r="J128" s="198"/>
      <c r="K128" s="198"/>
      <c r="M128" s="144" t="str">
        <f t="shared" si="22"/>
        <v/>
      </c>
      <c r="N128" s="144" t="str">
        <f t="shared" si="23"/>
        <v/>
      </c>
      <c r="R128" s="144">
        <v>5453</v>
      </c>
      <c r="S128" s="144" t="s">
        <v>828</v>
      </c>
      <c r="U128" s="144" t="str">
        <f t="shared" si="28"/>
        <v>54</v>
      </c>
      <c r="V128" s="144" t="str">
        <f t="shared" si="29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7"/>
        <v/>
      </c>
      <c r="E129" s="154"/>
      <c r="F129" s="149" t="str">
        <f t="shared" si="21"/>
        <v/>
      </c>
      <c r="G129" s="201"/>
      <c r="H129" s="149" t="str">
        <f t="shared" si="18"/>
        <v/>
      </c>
      <c r="I129" s="198"/>
      <c r="J129" s="198"/>
      <c r="K129" s="198"/>
      <c r="M129" s="144" t="str">
        <f t="shared" si="22"/>
        <v/>
      </c>
      <c r="N129" s="144" t="str">
        <f t="shared" si="23"/>
        <v/>
      </c>
      <c r="R129" s="144">
        <v>5472</v>
      </c>
      <c r="S129" s="144" t="s">
        <v>829</v>
      </c>
      <c r="U129" s="144" t="str">
        <f t="shared" si="28"/>
        <v>54</v>
      </c>
      <c r="V129" s="144" t="str">
        <f t="shared" si="29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7"/>
        <v/>
      </c>
      <c r="E130" s="154"/>
      <c r="F130" s="149" t="str">
        <f t="shared" si="21"/>
        <v/>
      </c>
      <c r="G130" s="201"/>
      <c r="H130" s="149" t="str">
        <f t="shared" si="18"/>
        <v/>
      </c>
      <c r="I130" s="198"/>
      <c r="J130" s="198"/>
      <c r="K130" s="198"/>
      <c r="M130" s="144" t="str">
        <f t="shared" si="22"/>
        <v/>
      </c>
      <c r="N130" s="144" t="str">
        <f t="shared" si="23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7"/>
        <v/>
      </c>
      <c r="E131" s="154"/>
      <c r="F131" s="149" t="str">
        <f t="shared" ref="F131:F194" si="30">IFERROR(VLOOKUP(E131,$R$5:$T$129,2,FALSE),"")</f>
        <v/>
      </c>
      <c r="G131" s="201"/>
      <c r="H131" s="149" t="str">
        <f t="shared" si="18"/>
        <v/>
      </c>
      <c r="I131" s="198"/>
      <c r="J131" s="198"/>
      <c r="K131" s="198"/>
      <c r="M131" s="144" t="str">
        <f t="shared" si="22"/>
        <v/>
      </c>
      <c r="N131" s="144" t="str">
        <f t="shared" si="23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31">IFERROR(VLOOKUP(C132,$O$6:$P$16,2,FALSE),"")</f>
        <v/>
      </c>
      <c r="E132" s="154"/>
      <c r="F132" s="149" t="str">
        <f t="shared" si="30"/>
        <v/>
      </c>
      <c r="G132" s="201"/>
      <c r="H132" s="149" t="str">
        <f t="shared" ref="H132:H195" si="32">IFERROR(VLOOKUP(G132,$X$6:$Y$50,2,FALSE),"")</f>
        <v/>
      </c>
      <c r="I132" s="198"/>
      <c r="J132" s="198"/>
      <c r="K132" s="198"/>
      <c r="M132" s="144" t="str">
        <f t="shared" ref="M132:M195" si="33">LEFT(E132,3)</f>
        <v/>
      </c>
      <c r="N132" s="144" t="str">
        <f t="shared" ref="N132:N195" si="34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31"/>
        <v/>
      </c>
      <c r="E133" s="154"/>
      <c r="F133" s="149" t="str">
        <f t="shared" si="30"/>
        <v/>
      </c>
      <c r="G133" s="201"/>
      <c r="H133" s="149" t="str">
        <f t="shared" si="32"/>
        <v/>
      </c>
      <c r="I133" s="198"/>
      <c r="J133" s="198"/>
      <c r="K133" s="198"/>
      <c r="M133" s="144" t="str">
        <f t="shared" si="33"/>
        <v/>
      </c>
      <c r="N133" s="144" t="str">
        <f t="shared" si="34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31"/>
        <v/>
      </c>
      <c r="E134" s="154"/>
      <c r="F134" s="149" t="str">
        <f t="shared" si="30"/>
        <v/>
      </c>
      <c r="G134" s="201"/>
      <c r="H134" s="149" t="str">
        <f t="shared" si="32"/>
        <v/>
      </c>
      <c r="I134" s="198"/>
      <c r="J134" s="198"/>
      <c r="K134" s="198"/>
      <c r="M134" s="144" t="str">
        <f t="shared" si="33"/>
        <v/>
      </c>
      <c r="N134" s="144" t="str">
        <f t="shared" si="34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31"/>
        <v/>
      </c>
      <c r="E135" s="154"/>
      <c r="F135" s="149" t="str">
        <f t="shared" si="30"/>
        <v/>
      </c>
      <c r="G135" s="201"/>
      <c r="H135" s="149" t="str">
        <f t="shared" si="32"/>
        <v/>
      </c>
      <c r="I135" s="198"/>
      <c r="J135" s="198"/>
      <c r="K135" s="198"/>
      <c r="M135" s="144" t="str">
        <f t="shared" si="33"/>
        <v/>
      </c>
      <c r="N135" s="144" t="str">
        <f t="shared" si="34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31"/>
        <v/>
      </c>
      <c r="E136" s="154"/>
      <c r="F136" s="149" t="str">
        <f t="shared" si="30"/>
        <v/>
      </c>
      <c r="G136" s="201"/>
      <c r="H136" s="149" t="str">
        <f t="shared" si="32"/>
        <v/>
      </c>
      <c r="I136" s="198"/>
      <c r="J136" s="198"/>
      <c r="K136" s="198"/>
      <c r="M136" s="144" t="str">
        <f t="shared" si="33"/>
        <v/>
      </c>
      <c r="N136" s="144" t="str">
        <f t="shared" si="34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31"/>
        <v/>
      </c>
      <c r="E137" s="154"/>
      <c r="F137" s="149" t="str">
        <f t="shared" si="30"/>
        <v/>
      </c>
      <c r="G137" s="201"/>
      <c r="H137" s="149" t="str">
        <f t="shared" si="32"/>
        <v/>
      </c>
      <c r="I137" s="198"/>
      <c r="J137" s="198"/>
      <c r="K137" s="198"/>
      <c r="M137" s="144" t="str">
        <f t="shared" si="33"/>
        <v/>
      </c>
      <c r="N137" s="144" t="str">
        <f t="shared" si="34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31"/>
        <v/>
      </c>
      <c r="E138" s="154"/>
      <c r="F138" s="149" t="str">
        <f t="shared" si="30"/>
        <v/>
      </c>
      <c r="G138" s="201"/>
      <c r="H138" s="149" t="str">
        <f t="shared" si="32"/>
        <v/>
      </c>
      <c r="I138" s="198"/>
      <c r="J138" s="198"/>
      <c r="K138" s="198"/>
      <c r="M138" s="144" t="str">
        <f t="shared" si="33"/>
        <v/>
      </c>
      <c r="N138" s="144" t="str">
        <f t="shared" si="34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31"/>
        <v/>
      </c>
      <c r="E139" s="154"/>
      <c r="F139" s="149" t="str">
        <f t="shared" si="30"/>
        <v/>
      </c>
      <c r="G139" s="201"/>
      <c r="H139" s="149" t="str">
        <f t="shared" si="32"/>
        <v/>
      </c>
      <c r="I139" s="198"/>
      <c r="J139" s="198"/>
      <c r="K139" s="198"/>
      <c r="M139" s="144" t="str">
        <f t="shared" si="33"/>
        <v/>
      </c>
      <c r="N139" s="144" t="str">
        <f t="shared" si="34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31"/>
        <v/>
      </c>
      <c r="E140" s="154"/>
      <c r="F140" s="149" t="str">
        <f t="shared" si="30"/>
        <v/>
      </c>
      <c r="G140" s="201"/>
      <c r="H140" s="149" t="str">
        <f t="shared" si="32"/>
        <v/>
      </c>
      <c r="I140" s="198"/>
      <c r="J140" s="198"/>
      <c r="K140" s="198"/>
      <c r="M140" s="144" t="str">
        <f t="shared" si="33"/>
        <v/>
      </c>
      <c r="N140" s="144" t="str">
        <f t="shared" si="34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31"/>
        <v/>
      </c>
      <c r="E141" s="154"/>
      <c r="F141" s="149" t="str">
        <f t="shared" si="30"/>
        <v/>
      </c>
      <c r="G141" s="201"/>
      <c r="H141" s="149" t="str">
        <f t="shared" si="32"/>
        <v/>
      </c>
      <c r="I141" s="198"/>
      <c r="J141" s="198"/>
      <c r="K141" s="198"/>
      <c r="M141" s="144" t="str">
        <f t="shared" si="33"/>
        <v/>
      </c>
      <c r="N141" s="144" t="str">
        <f t="shared" si="34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31"/>
        <v/>
      </c>
      <c r="E142" s="154"/>
      <c r="F142" s="149" t="str">
        <f t="shared" si="30"/>
        <v/>
      </c>
      <c r="G142" s="201"/>
      <c r="H142" s="149" t="str">
        <f t="shared" si="32"/>
        <v/>
      </c>
      <c r="I142" s="198"/>
      <c r="J142" s="198"/>
      <c r="K142" s="198"/>
      <c r="M142" s="144" t="str">
        <f t="shared" si="33"/>
        <v/>
      </c>
      <c r="N142" s="144" t="str">
        <f t="shared" si="34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31"/>
        <v/>
      </c>
      <c r="E143" s="154"/>
      <c r="F143" s="149" t="str">
        <f t="shared" si="30"/>
        <v/>
      </c>
      <c r="G143" s="201"/>
      <c r="H143" s="149" t="str">
        <f t="shared" si="32"/>
        <v/>
      </c>
      <c r="I143" s="198"/>
      <c r="J143" s="198"/>
      <c r="K143" s="198"/>
      <c r="M143" s="144" t="str">
        <f t="shared" si="33"/>
        <v/>
      </c>
      <c r="N143" s="144" t="str">
        <f t="shared" si="34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31"/>
        <v/>
      </c>
      <c r="E144" s="154"/>
      <c r="F144" s="149" t="str">
        <f t="shared" si="30"/>
        <v/>
      </c>
      <c r="G144" s="201"/>
      <c r="H144" s="149" t="str">
        <f t="shared" si="32"/>
        <v/>
      </c>
      <c r="I144" s="198"/>
      <c r="J144" s="198"/>
      <c r="K144" s="198"/>
      <c r="M144" s="144" t="str">
        <f t="shared" si="33"/>
        <v/>
      </c>
      <c r="N144" s="144" t="str">
        <f t="shared" si="34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31"/>
        <v/>
      </c>
      <c r="E145" s="154"/>
      <c r="F145" s="149" t="str">
        <f t="shared" si="30"/>
        <v/>
      </c>
      <c r="G145" s="201"/>
      <c r="H145" s="149" t="str">
        <f t="shared" si="32"/>
        <v/>
      </c>
      <c r="I145" s="198"/>
      <c r="J145" s="198"/>
      <c r="K145" s="198"/>
      <c r="M145" s="144" t="str">
        <f t="shared" si="33"/>
        <v/>
      </c>
      <c r="N145" s="144" t="str">
        <f t="shared" si="34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31"/>
        <v/>
      </c>
      <c r="E146" s="154"/>
      <c r="F146" s="149" t="str">
        <f t="shared" si="30"/>
        <v/>
      </c>
      <c r="G146" s="201"/>
      <c r="H146" s="149" t="str">
        <f t="shared" si="32"/>
        <v/>
      </c>
      <c r="I146" s="198"/>
      <c r="J146" s="198"/>
      <c r="K146" s="198"/>
      <c r="M146" s="144" t="str">
        <f t="shared" si="33"/>
        <v/>
      </c>
      <c r="N146" s="144" t="str">
        <f t="shared" si="34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31"/>
        <v/>
      </c>
      <c r="E147" s="154"/>
      <c r="F147" s="149" t="str">
        <f t="shared" si="30"/>
        <v/>
      </c>
      <c r="G147" s="201"/>
      <c r="H147" s="149" t="str">
        <f t="shared" si="32"/>
        <v/>
      </c>
      <c r="I147" s="198"/>
      <c r="J147" s="198"/>
      <c r="K147" s="198"/>
      <c r="M147" s="144" t="str">
        <f t="shared" si="33"/>
        <v/>
      </c>
      <c r="N147" s="144" t="str">
        <f t="shared" si="34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31"/>
        <v/>
      </c>
      <c r="E148" s="154"/>
      <c r="F148" s="149" t="str">
        <f t="shared" si="30"/>
        <v/>
      </c>
      <c r="G148" s="201"/>
      <c r="H148" s="149" t="str">
        <f t="shared" si="32"/>
        <v/>
      </c>
      <c r="I148" s="198"/>
      <c r="J148" s="198"/>
      <c r="K148" s="198"/>
      <c r="M148" s="144" t="str">
        <f t="shared" si="33"/>
        <v/>
      </c>
      <c r="N148" s="144" t="str">
        <f t="shared" si="34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31"/>
        <v/>
      </c>
      <c r="E149" s="154"/>
      <c r="F149" s="149" t="str">
        <f t="shared" si="30"/>
        <v/>
      </c>
      <c r="G149" s="201"/>
      <c r="H149" s="149" t="str">
        <f t="shared" si="32"/>
        <v/>
      </c>
      <c r="I149" s="198"/>
      <c r="J149" s="198"/>
      <c r="K149" s="198"/>
      <c r="M149" s="144" t="str">
        <f t="shared" si="33"/>
        <v/>
      </c>
      <c r="N149" s="144" t="str">
        <f t="shared" si="34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31"/>
        <v/>
      </c>
      <c r="E150" s="154"/>
      <c r="F150" s="149" t="str">
        <f t="shared" si="30"/>
        <v/>
      </c>
      <c r="G150" s="201"/>
      <c r="H150" s="149" t="str">
        <f t="shared" si="32"/>
        <v/>
      </c>
      <c r="I150" s="198"/>
      <c r="J150" s="198"/>
      <c r="K150" s="198"/>
      <c r="M150" s="144" t="str">
        <f t="shared" si="33"/>
        <v/>
      </c>
      <c r="N150" s="144" t="str">
        <f t="shared" si="34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31"/>
        <v/>
      </c>
      <c r="E151" s="154"/>
      <c r="F151" s="149" t="str">
        <f t="shared" si="30"/>
        <v/>
      </c>
      <c r="G151" s="201"/>
      <c r="H151" s="149" t="str">
        <f t="shared" si="32"/>
        <v/>
      </c>
      <c r="I151" s="198"/>
      <c r="J151" s="198"/>
      <c r="K151" s="198"/>
      <c r="M151" s="144" t="str">
        <f t="shared" si="33"/>
        <v/>
      </c>
      <c r="N151" s="144" t="str">
        <f t="shared" si="34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31"/>
        <v/>
      </c>
      <c r="E152" s="154"/>
      <c r="F152" s="149" t="str">
        <f t="shared" si="30"/>
        <v/>
      </c>
      <c r="G152" s="201"/>
      <c r="H152" s="149" t="str">
        <f t="shared" si="32"/>
        <v/>
      </c>
      <c r="I152" s="198"/>
      <c r="J152" s="198"/>
      <c r="K152" s="198"/>
      <c r="M152" s="144" t="str">
        <f t="shared" si="33"/>
        <v/>
      </c>
      <c r="N152" s="144" t="str">
        <f t="shared" si="34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31"/>
        <v/>
      </c>
      <c r="E153" s="154"/>
      <c r="F153" s="149" t="str">
        <f t="shared" si="30"/>
        <v/>
      </c>
      <c r="G153" s="201"/>
      <c r="H153" s="149" t="str">
        <f t="shared" si="32"/>
        <v/>
      </c>
      <c r="I153" s="198"/>
      <c r="J153" s="198"/>
      <c r="K153" s="198"/>
      <c r="M153" s="144" t="str">
        <f t="shared" si="33"/>
        <v/>
      </c>
      <c r="N153" s="144" t="str">
        <f t="shared" si="34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31"/>
        <v/>
      </c>
      <c r="E154" s="154"/>
      <c r="F154" s="149" t="str">
        <f t="shared" si="30"/>
        <v/>
      </c>
      <c r="G154" s="201"/>
      <c r="H154" s="149" t="str">
        <f t="shared" si="32"/>
        <v/>
      </c>
      <c r="I154" s="198"/>
      <c r="J154" s="198"/>
      <c r="K154" s="198"/>
      <c r="M154" s="144" t="str">
        <f t="shared" si="33"/>
        <v/>
      </c>
      <c r="N154" s="144" t="str">
        <f t="shared" si="34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31"/>
        <v/>
      </c>
      <c r="E155" s="154"/>
      <c r="F155" s="149" t="str">
        <f t="shared" si="30"/>
        <v/>
      </c>
      <c r="G155" s="201"/>
      <c r="H155" s="149" t="str">
        <f t="shared" si="32"/>
        <v/>
      </c>
      <c r="I155" s="198"/>
      <c r="J155" s="198"/>
      <c r="K155" s="198"/>
      <c r="M155" s="144" t="str">
        <f t="shared" si="33"/>
        <v/>
      </c>
      <c r="N155" s="144" t="str">
        <f t="shared" si="34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31"/>
        <v/>
      </c>
      <c r="E156" s="154"/>
      <c r="F156" s="149" t="str">
        <f t="shared" si="30"/>
        <v/>
      </c>
      <c r="G156" s="201"/>
      <c r="H156" s="149" t="str">
        <f t="shared" si="32"/>
        <v/>
      </c>
      <c r="I156" s="198"/>
      <c r="J156" s="198"/>
      <c r="K156" s="198"/>
      <c r="M156" s="144" t="str">
        <f t="shared" si="33"/>
        <v/>
      </c>
      <c r="N156" s="144" t="str">
        <f t="shared" si="34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31"/>
        <v/>
      </c>
      <c r="E157" s="154"/>
      <c r="F157" s="149" t="str">
        <f t="shared" si="30"/>
        <v/>
      </c>
      <c r="G157" s="201"/>
      <c r="H157" s="149" t="str">
        <f t="shared" si="32"/>
        <v/>
      </c>
      <c r="I157" s="198"/>
      <c r="J157" s="198"/>
      <c r="K157" s="198"/>
      <c r="M157" s="144" t="str">
        <f t="shared" si="33"/>
        <v/>
      </c>
      <c r="N157" s="144" t="str">
        <f t="shared" si="34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31"/>
        <v/>
      </c>
      <c r="E158" s="154"/>
      <c r="F158" s="149" t="str">
        <f t="shared" si="30"/>
        <v/>
      </c>
      <c r="G158" s="201"/>
      <c r="H158" s="149" t="str">
        <f t="shared" si="32"/>
        <v/>
      </c>
      <c r="I158" s="198"/>
      <c r="J158" s="198"/>
      <c r="K158" s="198"/>
      <c r="M158" s="144" t="str">
        <f t="shared" si="33"/>
        <v/>
      </c>
      <c r="N158" s="144" t="str">
        <f t="shared" si="34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31"/>
        <v/>
      </c>
      <c r="E159" s="154"/>
      <c r="F159" s="149" t="str">
        <f t="shared" si="30"/>
        <v/>
      </c>
      <c r="G159" s="201"/>
      <c r="H159" s="149" t="str">
        <f t="shared" si="32"/>
        <v/>
      </c>
      <c r="I159" s="198"/>
      <c r="J159" s="198"/>
      <c r="K159" s="198"/>
      <c r="M159" s="144" t="str">
        <f t="shared" si="33"/>
        <v/>
      </c>
      <c r="N159" s="144" t="str">
        <f t="shared" si="34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31"/>
        <v/>
      </c>
      <c r="E160" s="154"/>
      <c r="F160" s="149" t="str">
        <f t="shared" si="30"/>
        <v/>
      </c>
      <c r="G160" s="201"/>
      <c r="H160" s="149" t="str">
        <f t="shared" si="32"/>
        <v/>
      </c>
      <c r="I160" s="198"/>
      <c r="J160" s="198"/>
      <c r="K160" s="198"/>
      <c r="M160" s="144" t="str">
        <f t="shared" si="33"/>
        <v/>
      </c>
      <c r="N160" s="144" t="str">
        <f t="shared" si="34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31"/>
        <v/>
      </c>
      <c r="E161" s="154"/>
      <c r="F161" s="149" t="str">
        <f t="shared" si="30"/>
        <v/>
      </c>
      <c r="G161" s="201"/>
      <c r="H161" s="149" t="str">
        <f t="shared" si="32"/>
        <v/>
      </c>
      <c r="I161" s="198"/>
      <c r="J161" s="198"/>
      <c r="K161" s="198"/>
      <c r="M161" s="144" t="str">
        <f t="shared" si="33"/>
        <v/>
      </c>
      <c r="N161" s="144" t="str">
        <f t="shared" si="34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31"/>
        <v/>
      </c>
      <c r="E162" s="154"/>
      <c r="F162" s="149" t="str">
        <f t="shared" si="30"/>
        <v/>
      </c>
      <c r="G162" s="201"/>
      <c r="H162" s="149" t="str">
        <f t="shared" si="32"/>
        <v/>
      </c>
      <c r="I162" s="198"/>
      <c r="J162" s="198"/>
      <c r="K162" s="198"/>
      <c r="M162" s="144" t="str">
        <f t="shared" si="33"/>
        <v/>
      </c>
      <c r="N162" s="144" t="str">
        <f t="shared" si="34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31"/>
        <v/>
      </c>
      <c r="E163" s="154"/>
      <c r="F163" s="149" t="str">
        <f t="shared" si="30"/>
        <v/>
      </c>
      <c r="G163" s="201"/>
      <c r="H163" s="149" t="str">
        <f t="shared" si="32"/>
        <v/>
      </c>
      <c r="I163" s="198"/>
      <c r="J163" s="198"/>
      <c r="K163" s="198"/>
      <c r="M163" s="144" t="str">
        <f t="shared" si="33"/>
        <v/>
      </c>
      <c r="N163" s="144" t="str">
        <f t="shared" si="34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31"/>
        <v/>
      </c>
      <c r="E164" s="154"/>
      <c r="F164" s="149" t="str">
        <f t="shared" si="30"/>
        <v/>
      </c>
      <c r="G164" s="201"/>
      <c r="H164" s="149" t="str">
        <f t="shared" si="32"/>
        <v/>
      </c>
      <c r="I164" s="198"/>
      <c r="J164" s="198"/>
      <c r="K164" s="198"/>
      <c r="M164" s="144" t="str">
        <f t="shared" si="33"/>
        <v/>
      </c>
      <c r="N164" s="144" t="str">
        <f t="shared" si="34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31"/>
        <v/>
      </c>
      <c r="E165" s="154"/>
      <c r="F165" s="149" t="str">
        <f t="shared" si="30"/>
        <v/>
      </c>
      <c r="G165" s="201"/>
      <c r="H165" s="149" t="str">
        <f t="shared" si="32"/>
        <v/>
      </c>
      <c r="I165" s="198"/>
      <c r="J165" s="198"/>
      <c r="K165" s="198"/>
      <c r="M165" s="144" t="str">
        <f t="shared" si="33"/>
        <v/>
      </c>
      <c r="N165" s="144" t="str">
        <f t="shared" si="34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31"/>
        <v/>
      </c>
      <c r="E166" s="154"/>
      <c r="F166" s="149" t="str">
        <f t="shared" si="30"/>
        <v/>
      </c>
      <c r="G166" s="201"/>
      <c r="H166" s="149" t="str">
        <f t="shared" si="32"/>
        <v/>
      </c>
      <c r="I166" s="198"/>
      <c r="J166" s="198"/>
      <c r="K166" s="198"/>
      <c r="M166" s="144" t="str">
        <f t="shared" si="33"/>
        <v/>
      </c>
      <c r="N166" s="144" t="str">
        <f t="shared" si="34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31"/>
        <v/>
      </c>
      <c r="E167" s="154"/>
      <c r="F167" s="149" t="str">
        <f t="shared" si="30"/>
        <v/>
      </c>
      <c r="G167" s="201"/>
      <c r="H167" s="149" t="str">
        <f t="shared" si="32"/>
        <v/>
      </c>
      <c r="I167" s="198"/>
      <c r="J167" s="198"/>
      <c r="K167" s="198"/>
      <c r="M167" s="144" t="str">
        <f t="shared" si="33"/>
        <v/>
      </c>
      <c r="N167" s="144" t="str">
        <f t="shared" si="34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31"/>
        <v/>
      </c>
      <c r="E168" s="154"/>
      <c r="F168" s="149" t="str">
        <f t="shared" si="30"/>
        <v/>
      </c>
      <c r="G168" s="201"/>
      <c r="H168" s="149" t="str">
        <f t="shared" si="32"/>
        <v/>
      </c>
      <c r="I168" s="198"/>
      <c r="J168" s="198"/>
      <c r="K168" s="198"/>
      <c r="M168" s="144" t="str">
        <f t="shared" si="33"/>
        <v/>
      </c>
      <c r="N168" s="144" t="str">
        <f t="shared" si="34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31"/>
        <v/>
      </c>
      <c r="E169" s="154"/>
      <c r="F169" s="149" t="str">
        <f t="shared" si="30"/>
        <v/>
      </c>
      <c r="G169" s="201"/>
      <c r="H169" s="149" t="str">
        <f t="shared" si="32"/>
        <v/>
      </c>
      <c r="I169" s="198"/>
      <c r="J169" s="198"/>
      <c r="K169" s="198"/>
      <c r="M169" s="144" t="str">
        <f t="shared" si="33"/>
        <v/>
      </c>
      <c r="N169" s="144" t="str">
        <f t="shared" si="34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31"/>
        <v/>
      </c>
      <c r="E170" s="154"/>
      <c r="F170" s="149" t="str">
        <f t="shared" si="30"/>
        <v/>
      </c>
      <c r="G170" s="201"/>
      <c r="H170" s="149" t="str">
        <f t="shared" si="32"/>
        <v/>
      </c>
      <c r="I170" s="198"/>
      <c r="J170" s="198"/>
      <c r="K170" s="198"/>
      <c r="M170" s="144" t="str">
        <f t="shared" si="33"/>
        <v/>
      </c>
      <c r="N170" s="144" t="str">
        <f t="shared" si="34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31"/>
        <v/>
      </c>
      <c r="E171" s="154"/>
      <c r="F171" s="149" t="str">
        <f t="shared" si="30"/>
        <v/>
      </c>
      <c r="G171" s="201"/>
      <c r="H171" s="149" t="str">
        <f t="shared" si="32"/>
        <v/>
      </c>
      <c r="I171" s="198"/>
      <c r="J171" s="198"/>
      <c r="K171" s="198"/>
      <c r="M171" s="144" t="str">
        <f t="shared" si="33"/>
        <v/>
      </c>
      <c r="N171" s="144" t="str">
        <f t="shared" si="34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31"/>
        <v/>
      </c>
      <c r="E172" s="154"/>
      <c r="F172" s="149" t="str">
        <f t="shared" si="30"/>
        <v/>
      </c>
      <c r="G172" s="201"/>
      <c r="H172" s="149" t="str">
        <f t="shared" si="32"/>
        <v/>
      </c>
      <c r="I172" s="198"/>
      <c r="J172" s="198"/>
      <c r="K172" s="198"/>
      <c r="M172" s="144" t="str">
        <f t="shared" si="33"/>
        <v/>
      </c>
      <c r="N172" s="144" t="str">
        <f t="shared" si="34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31"/>
        <v/>
      </c>
      <c r="E173" s="154"/>
      <c r="F173" s="149" t="str">
        <f t="shared" si="30"/>
        <v/>
      </c>
      <c r="G173" s="201"/>
      <c r="H173" s="149" t="str">
        <f t="shared" si="32"/>
        <v/>
      </c>
      <c r="I173" s="198"/>
      <c r="J173" s="198"/>
      <c r="K173" s="198"/>
      <c r="M173" s="144" t="str">
        <f t="shared" si="33"/>
        <v/>
      </c>
      <c r="N173" s="144" t="str">
        <f t="shared" si="34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31"/>
        <v/>
      </c>
      <c r="E174" s="154"/>
      <c r="F174" s="149" t="str">
        <f t="shared" si="30"/>
        <v/>
      </c>
      <c r="G174" s="201"/>
      <c r="H174" s="149" t="str">
        <f t="shared" si="32"/>
        <v/>
      </c>
      <c r="I174" s="198"/>
      <c r="J174" s="198"/>
      <c r="K174" s="198"/>
      <c r="M174" s="144" t="str">
        <f t="shared" si="33"/>
        <v/>
      </c>
      <c r="N174" s="144" t="str">
        <f t="shared" si="34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31"/>
        <v/>
      </c>
      <c r="E175" s="154"/>
      <c r="F175" s="149" t="str">
        <f t="shared" si="30"/>
        <v/>
      </c>
      <c r="G175" s="201"/>
      <c r="H175" s="149" t="str">
        <f t="shared" si="32"/>
        <v/>
      </c>
      <c r="I175" s="198"/>
      <c r="J175" s="198"/>
      <c r="K175" s="198"/>
      <c r="M175" s="144" t="str">
        <f t="shared" si="33"/>
        <v/>
      </c>
      <c r="N175" s="144" t="str">
        <f t="shared" si="34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31"/>
        <v/>
      </c>
      <c r="E176" s="154"/>
      <c r="F176" s="149" t="str">
        <f t="shared" si="30"/>
        <v/>
      </c>
      <c r="G176" s="201"/>
      <c r="H176" s="149" t="str">
        <f t="shared" si="32"/>
        <v/>
      </c>
      <c r="I176" s="198"/>
      <c r="J176" s="198"/>
      <c r="K176" s="198"/>
      <c r="M176" s="144" t="str">
        <f t="shared" si="33"/>
        <v/>
      </c>
      <c r="N176" s="144" t="str">
        <f t="shared" si="34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31"/>
        <v/>
      </c>
      <c r="E177" s="154"/>
      <c r="F177" s="149" t="str">
        <f t="shared" si="30"/>
        <v/>
      </c>
      <c r="G177" s="201"/>
      <c r="H177" s="149" t="str">
        <f t="shared" si="32"/>
        <v/>
      </c>
      <c r="I177" s="198"/>
      <c r="J177" s="198"/>
      <c r="K177" s="198"/>
      <c r="M177" s="144" t="str">
        <f t="shared" si="33"/>
        <v/>
      </c>
      <c r="N177" s="144" t="str">
        <f t="shared" si="34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31"/>
        <v/>
      </c>
      <c r="E178" s="154"/>
      <c r="F178" s="149" t="str">
        <f t="shared" si="30"/>
        <v/>
      </c>
      <c r="G178" s="201"/>
      <c r="H178" s="149" t="str">
        <f t="shared" si="32"/>
        <v/>
      </c>
      <c r="I178" s="198"/>
      <c r="J178" s="198"/>
      <c r="K178" s="198"/>
      <c r="M178" s="144" t="str">
        <f t="shared" si="33"/>
        <v/>
      </c>
      <c r="N178" s="144" t="str">
        <f t="shared" si="34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31"/>
        <v/>
      </c>
      <c r="E179" s="154"/>
      <c r="F179" s="149" t="str">
        <f t="shared" si="30"/>
        <v/>
      </c>
      <c r="G179" s="201"/>
      <c r="H179" s="149" t="str">
        <f t="shared" si="32"/>
        <v/>
      </c>
      <c r="I179" s="198"/>
      <c r="J179" s="198"/>
      <c r="K179" s="198"/>
      <c r="M179" s="144" t="str">
        <f t="shared" si="33"/>
        <v/>
      </c>
      <c r="N179" s="144" t="str">
        <f t="shared" si="34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31"/>
        <v/>
      </c>
      <c r="E180" s="154"/>
      <c r="F180" s="149" t="str">
        <f t="shared" si="30"/>
        <v/>
      </c>
      <c r="G180" s="201"/>
      <c r="H180" s="149" t="str">
        <f t="shared" si="32"/>
        <v/>
      </c>
      <c r="I180" s="198"/>
      <c r="J180" s="198"/>
      <c r="K180" s="198"/>
      <c r="M180" s="144" t="str">
        <f t="shared" si="33"/>
        <v/>
      </c>
      <c r="N180" s="144" t="str">
        <f t="shared" si="34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31"/>
        <v/>
      </c>
      <c r="E181" s="154"/>
      <c r="F181" s="149" t="str">
        <f t="shared" si="30"/>
        <v/>
      </c>
      <c r="G181" s="201"/>
      <c r="H181" s="149" t="str">
        <f t="shared" si="32"/>
        <v/>
      </c>
      <c r="I181" s="198"/>
      <c r="J181" s="198"/>
      <c r="K181" s="198"/>
      <c r="M181" s="144" t="str">
        <f t="shared" si="33"/>
        <v/>
      </c>
      <c r="N181" s="144" t="str">
        <f t="shared" si="34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31"/>
        <v/>
      </c>
      <c r="E182" s="154"/>
      <c r="F182" s="149" t="str">
        <f t="shared" si="30"/>
        <v/>
      </c>
      <c r="G182" s="201"/>
      <c r="H182" s="149" t="str">
        <f t="shared" si="32"/>
        <v/>
      </c>
      <c r="I182" s="198"/>
      <c r="J182" s="198"/>
      <c r="K182" s="198"/>
      <c r="M182" s="144" t="str">
        <f t="shared" si="33"/>
        <v/>
      </c>
      <c r="N182" s="144" t="str">
        <f t="shared" si="34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31"/>
        <v/>
      </c>
      <c r="E183" s="154"/>
      <c r="F183" s="149" t="str">
        <f t="shared" si="30"/>
        <v/>
      </c>
      <c r="G183" s="201"/>
      <c r="H183" s="149" t="str">
        <f t="shared" si="32"/>
        <v/>
      </c>
      <c r="I183" s="198"/>
      <c r="J183" s="198"/>
      <c r="K183" s="198"/>
      <c r="M183" s="144" t="str">
        <f t="shared" si="33"/>
        <v/>
      </c>
      <c r="N183" s="144" t="str">
        <f t="shared" si="34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31"/>
        <v/>
      </c>
      <c r="E184" s="154"/>
      <c r="F184" s="149" t="str">
        <f t="shared" si="30"/>
        <v/>
      </c>
      <c r="G184" s="201"/>
      <c r="H184" s="149" t="str">
        <f t="shared" si="32"/>
        <v/>
      </c>
      <c r="I184" s="198"/>
      <c r="J184" s="198"/>
      <c r="K184" s="198"/>
      <c r="M184" s="144" t="str">
        <f t="shared" si="33"/>
        <v/>
      </c>
      <c r="N184" s="144" t="str">
        <f t="shared" si="34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31"/>
        <v/>
      </c>
      <c r="E185" s="154"/>
      <c r="F185" s="149" t="str">
        <f t="shared" si="30"/>
        <v/>
      </c>
      <c r="G185" s="201"/>
      <c r="H185" s="149" t="str">
        <f t="shared" si="32"/>
        <v/>
      </c>
      <c r="I185" s="198"/>
      <c r="J185" s="198"/>
      <c r="K185" s="198"/>
      <c r="M185" s="144" t="str">
        <f t="shared" si="33"/>
        <v/>
      </c>
      <c r="N185" s="144" t="str">
        <f t="shared" si="34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31"/>
        <v/>
      </c>
      <c r="E186" s="154"/>
      <c r="F186" s="149" t="str">
        <f t="shared" si="30"/>
        <v/>
      </c>
      <c r="G186" s="201"/>
      <c r="H186" s="149" t="str">
        <f t="shared" si="32"/>
        <v/>
      </c>
      <c r="I186" s="198"/>
      <c r="J186" s="198"/>
      <c r="K186" s="198"/>
      <c r="M186" s="144" t="str">
        <f t="shared" si="33"/>
        <v/>
      </c>
      <c r="N186" s="144" t="str">
        <f t="shared" si="34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31"/>
        <v/>
      </c>
      <c r="E187" s="154"/>
      <c r="F187" s="149" t="str">
        <f t="shared" si="30"/>
        <v/>
      </c>
      <c r="G187" s="201"/>
      <c r="H187" s="149" t="str">
        <f t="shared" si="32"/>
        <v/>
      </c>
      <c r="I187" s="198"/>
      <c r="J187" s="198"/>
      <c r="K187" s="198"/>
      <c r="M187" s="144" t="str">
        <f t="shared" si="33"/>
        <v/>
      </c>
      <c r="N187" s="144" t="str">
        <f t="shared" si="34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31"/>
        <v/>
      </c>
      <c r="E188" s="154"/>
      <c r="F188" s="149" t="str">
        <f t="shared" si="30"/>
        <v/>
      </c>
      <c r="G188" s="201"/>
      <c r="H188" s="149" t="str">
        <f t="shared" si="32"/>
        <v/>
      </c>
      <c r="I188" s="198"/>
      <c r="J188" s="198"/>
      <c r="K188" s="198"/>
      <c r="M188" s="144" t="str">
        <f t="shared" si="33"/>
        <v/>
      </c>
      <c r="N188" s="144" t="str">
        <f t="shared" si="34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31"/>
        <v/>
      </c>
      <c r="E189" s="154"/>
      <c r="F189" s="149" t="str">
        <f t="shared" si="30"/>
        <v/>
      </c>
      <c r="G189" s="201"/>
      <c r="H189" s="149" t="str">
        <f t="shared" si="32"/>
        <v/>
      </c>
      <c r="I189" s="198"/>
      <c r="J189" s="198"/>
      <c r="K189" s="198"/>
      <c r="M189" s="144" t="str">
        <f t="shared" si="33"/>
        <v/>
      </c>
      <c r="N189" s="144" t="str">
        <f t="shared" si="34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31"/>
        <v/>
      </c>
      <c r="E190" s="154"/>
      <c r="F190" s="149" t="str">
        <f t="shared" si="30"/>
        <v/>
      </c>
      <c r="G190" s="201"/>
      <c r="H190" s="149" t="str">
        <f t="shared" si="32"/>
        <v/>
      </c>
      <c r="I190" s="198"/>
      <c r="J190" s="198"/>
      <c r="K190" s="198"/>
      <c r="M190" s="144" t="str">
        <f t="shared" si="33"/>
        <v/>
      </c>
      <c r="N190" s="144" t="str">
        <f t="shared" si="34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31"/>
        <v/>
      </c>
      <c r="E191" s="154"/>
      <c r="F191" s="149" t="str">
        <f t="shared" si="30"/>
        <v/>
      </c>
      <c r="G191" s="201"/>
      <c r="H191" s="149" t="str">
        <f t="shared" si="32"/>
        <v/>
      </c>
      <c r="I191" s="198"/>
      <c r="J191" s="198"/>
      <c r="K191" s="198"/>
      <c r="M191" s="144" t="str">
        <f t="shared" si="33"/>
        <v/>
      </c>
      <c r="N191" s="144" t="str">
        <f t="shared" si="34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31"/>
        <v/>
      </c>
      <c r="E192" s="154"/>
      <c r="F192" s="149" t="str">
        <f t="shared" si="30"/>
        <v/>
      </c>
      <c r="G192" s="201"/>
      <c r="H192" s="149" t="str">
        <f t="shared" si="32"/>
        <v/>
      </c>
      <c r="I192" s="198"/>
      <c r="J192" s="198"/>
      <c r="K192" s="198"/>
      <c r="M192" s="144" t="str">
        <f t="shared" si="33"/>
        <v/>
      </c>
      <c r="N192" s="144" t="str">
        <f t="shared" si="34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31"/>
        <v/>
      </c>
      <c r="E193" s="154"/>
      <c r="F193" s="149" t="str">
        <f t="shared" si="30"/>
        <v/>
      </c>
      <c r="G193" s="201"/>
      <c r="H193" s="149" t="str">
        <f t="shared" si="32"/>
        <v/>
      </c>
      <c r="I193" s="198"/>
      <c r="J193" s="198"/>
      <c r="K193" s="198"/>
      <c r="M193" s="144" t="str">
        <f t="shared" si="33"/>
        <v/>
      </c>
      <c r="N193" s="144" t="str">
        <f t="shared" si="34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31"/>
        <v/>
      </c>
      <c r="E194" s="154"/>
      <c r="F194" s="149" t="str">
        <f t="shared" si="30"/>
        <v/>
      </c>
      <c r="G194" s="201"/>
      <c r="H194" s="149" t="str">
        <f t="shared" si="32"/>
        <v/>
      </c>
      <c r="I194" s="198"/>
      <c r="J194" s="198"/>
      <c r="K194" s="198"/>
      <c r="M194" s="144" t="str">
        <f t="shared" si="33"/>
        <v/>
      </c>
      <c r="N194" s="144" t="str">
        <f t="shared" si="34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31"/>
        <v/>
      </c>
      <c r="E195" s="154"/>
      <c r="F195" s="149" t="str">
        <f t="shared" ref="F195:F258" si="35">IFERROR(VLOOKUP(E195,$R$5:$T$129,2,FALSE),"")</f>
        <v/>
      </c>
      <c r="G195" s="201"/>
      <c r="H195" s="149" t="str">
        <f t="shared" si="32"/>
        <v/>
      </c>
      <c r="I195" s="198"/>
      <c r="J195" s="198"/>
      <c r="K195" s="198"/>
      <c r="M195" s="144" t="str">
        <f t="shared" si="33"/>
        <v/>
      </c>
      <c r="N195" s="144" t="str">
        <f t="shared" si="34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6">IFERROR(VLOOKUP(C196,$O$6:$P$16,2,FALSE),"")</f>
        <v/>
      </c>
      <c r="E196" s="154"/>
      <c r="F196" s="149" t="str">
        <f t="shared" si="35"/>
        <v/>
      </c>
      <c r="G196" s="201"/>
      <c r="H196" s="149" t="str">
        <f t="shared" ref="H196:H259" si="37">IFERROR(VLOOKUP(G196,$X$6:$Y$50,2,FALSE),"")</f>
        <v/>
      </c>
      <c r="I196" s="198"/>
      <c r="J196" s="198"/>
      <c r="K196" s="198"/>
      <c r="M196" s="144" t="str">
        <f t="shared" ref="M196:M259" si="38">LEFT(E196,3)</f>
        <v/>
      </c>
      <c r="N196" s="144" t="str">
        <f t="shared" ref="N196:N259" si="39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6"/>
        <v/>
      </c>
      <c r="E197" s="154"/>
      <c r="F197" s="149" t="str">
        <f t="shared" si="35"/>
        <v/>
      </c>
      <c r="G197" s="201"/>
      <c r="H197" s="149" t="str">
        <f t="shared" si="37"/>
        <v/>
      </c>
      <c r="I197" s="198"/>
      <c r="J197" s="198"/>
      <c r="K197" s="198"/>
      <c r="M197" s="144" t="str">
        <f t="shared" si="38"/>
        <v/>
      </c>
      <c r="N197" s="144" t="str">
        <f t="shared" si="39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6"/>
        <v/>
      </c>
      <c r="E198" s="154"/>
      <c r="F198" s="149" t="str">
        <f t="shared" si="35"/>
        <v/>
      </c>
      <c r="G198" s="201"/>
      <c r="H198" s="149" t="str">
        <f t="shared" si="37"/>
        <v/>
      </c>
      <c r="I198" s="198"/>
      <c r="J198" s="198"/>
      <c r="K198" s="198"/>
      <c r="M198" s="144" t="str">
        <f t="shared" si="38"/>
        <v/>
      </c>
      <c r="N198" s="144" t="str">
        <f t="shared" si="39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6"/>
        <v/>
      </c>
      <c r="E199" s="154"/>
      <c r="F199" s="149" t="str">
        <f t="shared" si="35"/>
        <v/>
      </c>
      <c r="G199" s="201"/>
      <c r="H199" s="149" t="str">
        <f t="shared" si="37"/>
        <v/>
      </c>
      <c r="I199" s="198"/>
      <c r="J199" s="198"/>
      <c r="K199" s="198"/>
      <c r="M199" s="144" t="str">
        <f t="shared" si="38"/>
        <v/>
      </c>
      <c r="N199" s="144" t="str">
        <f t="shared" si="39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6"/>
        <v/>
      </c>
      <c r="E200" s="154"/>
      <c r="F200" s="149" t="str">
        <f t="shared" si="35"/>
        <v/>
      </c>
      <c r="G200" s="201"/>
      <c r="H200" s="149" t="str">
        <f t="shared" si="37"/>
        <v/>
      </c>
      <c r="I200" s="198"/>
      <c r="J200" s="198"/>
      <c r="K200" s="198"/>
      <c r="M200" s="144" t="str">
        <f t="shared" si="38"/>
        <v/>
      </c>
      <c r="N200" s="144" t="str">
        <f t="shared" si="39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6"/>
        <v/>
      </c>
      <c r="E201" s="154"/>
      <c r="F201" s="149" t="str">
        <f t="shared" si="35"/>
        <v/>
      </c>
      <c r="G201" s="201"/>
      <c r="H201" s="149" t="str">
        <f t="shared" si="37"/>
        <v/>
      </c>
      <c r="I201" s="198"/>
      <c r="J201" s="198"/>
      <c r="K201" s="198"/>
      <c r="M201" s="144" t="str">
        <f t="shared" si="38"/>
        <v/>
      </c>
      <c r="N201" s="144" t="str">
        <f t="shared" si="39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6"/>
        <v/>
      </c>
      <c r="E202" s="154"/>
      <c r="F202" s="149" t="str">
        <f t="shared" si="35"/>
        <v/>
      </c>
      <c r="G202" s="201"/>
      <c r="H202" s="149" t="str">
        <f t="shared" si="37"/>
        <v/>
      </c>
      <c r="I202" s="198"/>
      <c r="J202" s="198"/>
      <c r="K202" s="198"/>
      <c r="M202" s="144" t="str">
        <f t="shared" si="38"/>
        <v/>
      </c>
      <c r="N202" s="144" t="str">
        <f t="shared" si="39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6"/>
        <v/>
      </c>
      <c r="E203" s="154"/>
      <c r="F203" s="149" t="str">
        <f t="shared" si="35"/>
        <v/>
      </c>
      <c r="G203" s="201"/>
      <c r="H203" s="149" t="str">
        <f t="shared" si="37"/>
        <v/>
      </c>
      <c r="I203" s="198"/>
      <c r="J203" s="198"/>
      <c r="K203" s="198"/>
      <c r="M203" s="144" t="str">
        <f t="shared" si="38"/>
        <v/>
      </c>
      <c r="N203" s="144" t="str">
        <f t="shared" si="39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6"/>
        <v/>
      </c>
      <c r="E204" s="154"/>
      <c r="F204" s="149" t="str">
        <f t="shared" si="35"/>
        <v/>
      </c>
      <c r="G204" s="201"/>
      <c r="H204" s="149" t="str">
        <f t="shared" si="37"/>
        <v/>
      </c>
      <c r="I204" s="198"/>
      <c r="J204" s="198"/>
      <c r="K204" s="198"/>
      <c r="M204" s="144" t="str">
        <f t="shared" si="38"/>
        <v/>
      </c>
      <c r="N204" s="144" t="str">
        <f t="shared" si="39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6"/>
        <v/>
      </c>
      <c r="E205" s="154"/>
      <c r="F205" s="149" t="str">
        <f t="shared" si="35"/>
        <v/>
      </c>
      <c r="G205" s="201"/>
      <c r="H205" s="149" t="str">
        <f t="shared" si="37"/>
        <v/>
      </c>
      <c r="I205" s="198"/>
      <c r="J205" s="198"/>
      <c r="K205" s="198"/>
      <c r="M205" s="144" t="str">
        <f t="shared" si="38"/>
        <v/>
      </c>
      <c r="N205" s="144" t="str">
        <f t="shared" si="39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6"/>
        <v/>
      </c>
      <c r="E206" s="154"/>
      <c r="F206" s="149" t="str">
        <f t="shared" si="35"/>
        <v/>
      </c>
      <c r="G206" s="201"/>
      <c r="H206" s="149" t="str">
        <f t="shared" si="37"/>
        <v/>
      </c>
      <c r="I206" s="198"/>
      <c r="J206" s="198"/>
      <c r="K206" s="198"/>
      <c r="M206" s="144" t="str">
        <f t="shared" si="38"/>
        <v/>
      </c>
      <c r="N206" s="144" t="str">
        <f t="shared" si="39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6"/>
        <v/>
      </c>
      <c r="E207" s="154"/>
      <c r="F207" s="149" t="str">
        <f t="shared" si="35"/>
        <v/>
      </c>
      <c r="G207" s="201"/>
      <c r="H207" s="149" t="str">
        <f t="shared" si="37"/>
        <v/>
      </c>
      <c r="I207" s="198"/>
      <c r="J207" s="198"/>
      <c r="K207" s="198"/>
      <c r="M207" s="144" t="str">
        <f t="shared" si="38"/>
        <v/>
      </c>
      <c r="N207" s="144" t="str">
        <f t="shared" si="39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6"/>
        <v/>
      </c>
      <c r="E208" s="154"/>
      <c r="F208" s="149" t="str">
        <f t="shared" si="35"/>
        <v/>
      </c>
      <c r="G208" s="201"/>
      <c r="H208" s="149" t="str">
        <f t="shared" si="37"/>
        <v/>
      </c>
      <c r="I208" s="198"/>
      <c r="J208" s="198"/>
      <c r="K208" s="198"/>
      <c r="M208" s="144" t="str">
        <f t="shared" si="38"/>
        <v/>
      </c>
      <c r="N208" s="144" t="str">
        <f t="shared" si="39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6"/>
        <v/>
      </c>
      <c r="E209" s="154"/>
      <c r="F209" s="149" t="str">
        <f t="shared" si="35"/>
        <v/>
      </c>
      <c r="G209" s="201"/>
      <c r="H209" s="149" t="str">
        <f t="shared" si="37"/>
        <v/>
      </c>
      <c r="I209" s="198"/>
      <c r="J209" s="198"/>
      <c r="K209" s="198"/>
      <c r="M209" s="144" t="str">
        <f t="shared" si="38"/>
        <v/>
      </c>
      <c r="N209" s="144" t="str">
        <f t="shared" si="39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6"/>
        <v/>
      </c>
      <c r="E210" s="154"/>
      <c r="F210" s="149" t="str">
        <f t="shared" si="35"/>
        <v/>
      </c>
      <c r="G210" s="201"/>
      <c r="H210" s="149" t="str">
        <f t="shared" si="37"/>
        <v/>
      </c>
      <c r="I210" s="198"/>
      <c r="J210" s="198"/>
      <c r="K210" s="198"/>
      <c r="M210" s="144" t="str">
        <f t="shared" si="38"/>
        <v/>
      </c>
      <c r="N210" s="144" t="str">
        <f t="shared" si="39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6"/>
        <v/>
      </c>
      <c r="E211" s="154"/>
      <c r="F211" s="149" t="str">
        <f t="shared" si="35"/>
        <v/>
      </c>
      <c r="G211" s="201"/>
      <c r="H211" s="149" t="str">
        <f t="shared" si="37"/>
        <v/>
      </c>
      <c r="I211" s="198"/>
      <c r="J211" s="198"/>
      <c r="K211" s="198"/>
      <c r="M211" s="144" t="str">
        <f t="shared" si="38"/>
        <v/>
      </c>
      <c r="N211" s="144" t="str">
        <f t="shared" si="39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6"/>
        <v/>
      </c>
      <c r="E212" s="154"/>
      <c r="F212" s="149" t="str">
        <f t="shared" si="35"/>
        <v/>
      </c>
      <c r="G212" s="201"/>
      <c r="H212" s="149" t="str">
        <f t="shared" si="37"/>
        <v/>
      </c>
      <c r="I212" s="198"/>
      <c r="J212" s="198"/>
      <c r="K212" s="198"/>
      <c r="M212" s="144" t="str">
        <f t="shared" si="38"/>
        <v/>
      </c>
      <c r="N212" s="144" t="str">
        <f t="shared" si="39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6"/>
        <v/>
      </c>
      <c r="E213" s="154"/>
      <c r="F213" s="149" t="str">
        <f t="shared" si="35"/>
        <v/>
      </c>
      <c r="G213" s="201"/>
      <c r="H213" s="149" t="str">
        <f t="shared" si="37"/>
        <v/>
      </c>
      <c r="I213" s="198"/>
      <c r="J213" s="198"/>
      <c r="K213" s="198"/>
      <c r="M213" s="144" t="str">
        <f t="shared" si="38"/>
        <v/>
      </c>
      <c r="N213" s="144" t="str">
        <f t="shared" si="39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6"/>
        <v/>
      </c>
      <c r="E214" s="154"/>
      <c r="F214" s="149" t="str">
        <f t="shared" si="35"/>
        <v/>
      </c>
      <c r="G214" s="201"/>
      <c r="H214" s="149" t="str">
        <f t="shared" si="37"/>
        <v/>
      </c>
      <c r="I214" s="198"/>
      <c r="J214" s="198"/>
      <c r="K214" s="198"/>
      <c r="M214" s="144" t="str">
        <f t="shared" si="38"/>
        <v/>
      </c>
      <c r="N214" s="144" t="str">
        <f t="shared" si="39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6"/>
        <v/>
      </c>
      <c r="E215" s="154"/>
      <c r="F215" s="149" t="str">
        <f t="shared" si="35"/>
        <v/>
      </c>
      <c r="G215" s="201"/>
      <c r="H215" s="149" t="str">
        <f t="shared" si="37"/>
        <v/>
      </c>
      <c r="I215" s="198"/>
      <c r="J215" s="198"/>
      <c r="K215" s="198"/>
      <c r="M215" s="144" t="str">
        <f t="shared" si="38"/>
        <v/>
      </c>
      <c r="N215" s="144" t="str">
        <f t="shared" si="39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6"/>
        <v/>
      </c>
      <c r="E216" s="154"/>
      <c r="F216" s="149" t="str">
        <f t="shared" si="35"/>
        <v/>
      </c>
      <c r="G216" s="201"/>
      <c r="H216" s="149" t="str">
        <f t="shared" si="37"/>
        <v/>
      </c>
      <c r="I216" s="198"/>
      <c r="J216" s="198"/>
      <c r="K216" s="198"/>
      <c r="M216" s="144" t="str">
        <f t="shared" si="38"/>
        <v/>
      </c>
      <c r="N216" s="144" t="str">
        <f t="shared" si="39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6"/>
        <v/>
      </c>
      <c r="E217" s="154"/>
      <c r="F217" s="149" t="str">
        <f t="shared" si="35"/>
        <v/>
      </c>
      <c r="G217" s="201"/>
      <c r="H217" s="149" t="str">
        <f t="shared" si="37"/>
        <v/>
      </c>
      <c r="I217" s="198"/>
      <c r="J217" s="198"/>
      <c r="K217" s="198"/>
      <c r="M217" s="144" t="str">
        <f t="shared" si="38"/>
        <v/>
      </c>
      <c r="N217" s="144" t="str">
        <f t="shared" si="39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6"/>
        <v/>
      </c>
      <c r="E218" s="154"/>
      <c r="F218" s="149" t="str">
        <f t="shared" si="35"/>
        <v/>
      </c>
      <c r="G218" s="201"/>
      <c r="H218" s="149" t="str">
        <f t="shared" si="37"/>
        <v/>
      </c>
      <c r="I218" s="198"/>
      <c r="J218" s="198"/>
      <c r="K218" s="198"/>
      <c r="M218" s="144" t="str">
        <f t="shared" si="38"/>
        <v/>
      </c>
      <c r="N218" s="144" t="str">
        <f t="shared" si="39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6"/>
        <v/>
      </c>
      <c r="E219" s="154"/>
      <c r="F219" s="149" t="str">
        <f t="shared" si="35"/>
        <v/>
      </c>
      <c r="G219" s="201"/>
      <c r="H219" s="149" t="str">
        <f t="shared" si="37"/>
        <v/>
      </c>
      <c r="I219" s="198"/>
      <c r="J219" s="198"/>
      <c r="K219" s="198"/>
      <c r="M219" s="144" t="str">
        <f t="shared" si="38"/>
        <v/>
      </c>
      <c r="N219" s="144" t="str">
        <f t="shared" si="39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6"/>
        <v/>
      </c>
      <c r="E220" s="154"/>
      <c r="F220" s="149" t="str">
        <f t="shared" si="35"/>
        <v/>
      </c>
      <c r="G220" s="201"/>
      <c r="H220" s="149" t="str">
        <f t="shared" si="37"/>
        <v/>
      </c>
      <c r="I220" s="198"/>
      <c r="J220" s="198"/>
      <c r="K220" s="198"/>
      <c r="M220" s="144" t="str">
        <f t="shared" si="38"/>
        <v/>
      </c>
      <c r="N220" s="144" t="str">
        <f t="shared" si="39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6"/>
        <v/>
      </c>
      <c r="E221" s="154"/>
      <c r="F221" s="149" t="str">
        <f t="shared" si="35"/>
        <v/>
      </c>
      <c r="G221" s="201"/>
      <c r="H221" s="149" t="str">
        <f t="shared" si="37"/>
        <v/>
      </c>
      <c r="I221" s="198"/>
      <c r="J221" s="198"/>
      <c r="K221" s="198"/>
      <c r="M221" s="144" t="str">
        <f t="shared" si="38"/>
        <v/>
      </c>
      <c r="N221" s="144" t="str">
        <f t="shared" si="39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6"/>
        <v/>
      </c>
      <c r="E222" s="154"/>
      <c r="F222" s="149" t="str">
        <f t="shared" si="35"/>
        <v/>
      </c>
      <c r="G222" s="201"/>
      <c r="H222" s="149" t="str">
        <f t="shared" si="37"/>
        <v/>
      </c>
      <c r="I222" s="198"/>
      <c r="J222" s="198"/>
      <c r="K222" s="198"/>
      <c r="M222" s="144" t="str">
        <f t="shared" si="38"/>
        <v/>
      </c>
      <c r="N222" s="144" t="str">
        <f t="shared" si="39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6"/>
        <v/>
      </c>
      <c r="E223" s="154"/>
      <c r="F223" s="149" t="str">
        <f t="shared" si="35"/>
        <v/>
      </c>
      <c r="G223" s="201"/>
      <c r="H223" s="149" t="str">
        <f t="shared" si="37"/>
        <v/>
      </c>
      <c r="I223" s="198"/>
      <c r="J223" s="198"/>
      <c r="K223" s="198"/>
      <c r="M223" s="144" t="str">
        <f t="shared" si="38"/>
        <v/>
      </c>
      <c r="N223" s="144" t="str">
        <f t="shared" si="39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6"/>
        <v/>
      </c>
      <c r="E224" s="154"/>
      <c r="F224" s="149" t="str">
        <f t="shared" si="35"/>
        <v/>
      </c>
      <c r="G224" s="201"/>
      <c r="H224" s="149" t="str">
        <f t="shared" si="37"/>
        <v/>
      </c>
      <c r="I224" s="198"/>
      <c r="J224" s="198"/>
      <c r="K224" s="198"/>
      <c r="M224" s="144" t="str">
        <f t="shared" si="38"/>
        <v/>
      </c>
      <c r="N224" s="144" t="str">
        <f t="shared" si="39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6"/>
        <v/>
      </c>
      <c r="E225" s="154"/>
      <c r="F225" s="149" t="str">
        <f t="shared" si="35"/>
        <v/>
      </c>
      <c r="G225" s="201"/>
      <c r="H225" s="149" t="str">
        <f t="shared" si="37"/>
        <v/>
      </c>
      <c r="I225" s="198"/>
      <c r="J225" s="198"/>
      <c r="K225" s="198"/>
      <c r="M225" s="144" t="str">
        <f t="shared" si="38"/>
        <v/>
      </c>
      <c r="N225" s="144" t="str">
        <f t="shared" si="39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6"/>
        <v/>
      </c>
      <c r="E226" s="154"/>
      <c r="F226" s="149" t="str">
        <f t="shared" si="35"/>
        <v/>
      </c>
      <c r="G226" s="201"/>
      <c r="H226" s="149" t="str">
        <f t="shared" si="37"/>
        <v/>
      </c>
      <c r="I226" s="198"/>
      <c r="J226" s="198"/>
      <c r="K226" s="198"/>
      <c r="M226" s="144" t="str">
        <f t="shared" si="38"/>
        <v/>
      </c>
      <c r="N226" s="144" t="str">
        <f t="shared" si="39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6"/>
        <v/>
      </c>
      <c r="E227" s="154"/>
      <c r="F227" s="149" t="str">
        <f t="shared" si="35"/>
        <v/>
      </c>
      <c r="G227" s="201"/>
      <c r="H227" s="149" t="str">
        <f t="shared" si="37"/>
        <v/>
      </c>
      <c r="I227" s="198"/>
      <c r="J227" s="198"/>
      <c r="K227" s="198"/>
      <c r="M227" s="144" t="str">
        <f t="shared" si="38"/>
        <v/>
      </c>
      <c r="N227" s="144" t="str">
        <f t="shared" si="39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6"/>
        <v/>
      </c>
      <c r="E228" s="154"/>
      <c r="F228" s="149" t="str">
        <f t="shared" si="35"/>
        <v/>
      </c>
      <c r="G228" s="201"/>
      <c r="H228" s="149" t="str">
        <f t="shared" si="37"/>
        <v/>
      </c>
      <c r="I228" s="198"/>
      <c r="J228" s="198"/>
      <c r="K228" s="198"/>
      <c r="M228" s="144" t="str">
        <f t="shared" si="38"/>
        <v/>
      </c>
      <c r="N228" s="144" t="str">
        <f t="shared" si="39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6"/>
        <v/>
      </c>
      <c r="E229" s="154"/>
      <c r="F229" s="149" t="str">
        <f t="shared" si="35"/>
        <v/>
      </c>
      <c r="G229" s="201"/>
      <c r="H229" s="149" t="str">
        <f t="shared" si="37"/>
        <v/>
      </c>
      <c r="I229" s="198"/>
      <c r="J229" s="198"/>
      <c r="K229" s="198"/>
      <c r="M229" s="144" t="str">
        <f t="shared" si="38"/>
        <v/>
      </c>
      <c r="N229" s="144" t="str">
        <f t="shared" si="39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6"/>
        <v/>
      </c>
      <c r="E230" s="154"/>
      <c r="F230" s="149" t="str">
        <f t="shared" si="35"/>
        <v/>
      </c>
      <c r="G230" s="201"/>
      <c r="H230" s="149" t="str">
        <f t="shared" si="37"/>
        <v/>
      </c>
      <c r="I230" s="198"/>
      <c r="J230" s="198"/>
      <c r="K230" s="198"/>
      <c r="M230" s="144" t="str">
        <f t="shared" si="38"/>
        <v/>
      </c>
      <c r="N230" s="144" t="str">
        <f t="shared" si="39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6"/>
        <v/>
      </c>
      <c r="E231" s="154"/>
      <c r="F231" s="149" t="str">
        <f t="shared" si="35"/>
        <v/>
      </c>
      <c r="G231" s="201"/>
      <c r="H231" s="149" t="str">
        <f t="shared" si="37"/>
        <v/>
      </c>
      <c r="I231" s="198"/>
      <c r="J231" s="198"/>
      <c r="K231" s="198"/>
      <c r="M231" s="144" t="str">
        <f t="shared" si="38"/>
        <v/>
      </c>
      <c r="N231" s="144" t="str">
        <f t="shared" si="39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6"/>
        <v/>
      </c>
      <c r="E232" s="154"/>
      <c r="F232" s="149" t="str">
        <f t="shared" si="35"/>
        <v/>
      </c>
      <c r="G232" s="201"/>
      <c r="H232" s="149" t="str">
        <f t="shared" si="37"/>
        <v/>
      </c>
      <c r="I232" s="198"/>
      <c r="J232" s="198"/>
      <c r="K232" s="198"/>
      <c r="M232" s="144" t="str">
        <f t="shared" si="38"/>
        <v/>
      </c>
      <c r="N232" s="144" t="str">
        <f t="shared" si="39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6"/>
        <v/>
      </c>
      <c r="E233" s="154"/>
      <c r="F233" s="149" t="str">
        <f t="shared" si="35"/>
        <v/>
      </c>
      <c r="G233" s="201"/>
      <c r="H233" s="149" t="str">
        <f t="shared" si="37"/>
        <v/>
      </c>
      <c r="I233" s="198"/>
      <c r="J233" s="198"/>
      <c r="K233" s="198"/>
      <c r="M233" s="144" t="str">
        <f t="shared" si="38"/>
        <v/>
      </c>
      <c r="N233" s="144" t="str">
        <f t="shared" si="39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6"/>
        <v/>
      </c>
      <c r="E234" s="154"/>
      <c r="F234" s="149" t="str">
        <f t="shared" si="35"/>
        <v/>
      </c>
      <c r="G234" s="201"/>
      <c r="H234" s="149" t="str">
        <f t="shared" si="37"/>
        <v/>
      </c>
      <c r="I234" s="198"/>
      <c r="J234" s="198"/>
      <c r="K234" s="198"/>
      <c r="M234" s="144" t="str">
        <f t="shared" si="38"/>
        <v/>
      </c>
      <c r="N234" s="144" t="str">
        <f t="shared" si="39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6"/>
        <v/>
      </c>
      <c r="E235" s="154"/>
      <c r="F235" s="149" t="str">
        <f t="shared" si="35"/>
        <v/>
      </c>
      <c r="G235" s="201"/>
      <c r="H235" s="149" t="str">
        <f t="shared" si="37"/>
        <v/>
      </c>
      <c r="I235" s="198"/>
      <c r="J235" s="198"/>
      <c r="K235" s="198"/>
      <c r="M235" s="144" t="str">
        <f t="shared" si="38"/>
        <v/>
      </c>
      <c r="N235" s="144" t="str">
        <f t="shared" si="39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6"/>
        <v/>
      </c>
      <c r="E236" s="154"/>
      <c r="F236" s="149" t="str">
        <f t="shared" si="35"/>
        <v/>
      </c>
      <c r="G236" s="201"/>
      <c r="H236" s="149" t="str">
        <f t="shared" si="37"/>
        <v/>
      </c>
      <c r="I236" s="198"/>
      <c r="J236" s="198"/>
      <c r="K236" s="198"/>
      <c r="M236" s="144" t="str">
        <f t="shared" si="38"/>
        <v/>
      </c>
      <c r="N236" s="144" t="str">
        <f t="shared" si="39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6"/>
        <v/>
      </c>
      <c r="E237" s="154"/>
      <c r="F237" s="149" t="str">
        <f t="shared" si="35"/>
        <v/>
      </c>
      <c r="G237" s="201"/>
      <c r="H237" s="149" t="str">
        <f t="shared" si="37"/>
        <v/>
      </c>
      <c r="I237" s="198"/>
      <c r="J237" s="198"/>
      <c r="K237" s="198"/>
      <c r="M237" s="144" t="str">
        <f t="shared" si="38"/>
        <v/>
      </c>
      <c r="N237" s="144" t="str">
        <f t="shared" si="39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6"/>
        <v/>
      </c>
      <c r="E238" s="154"/>
      <c r="F238" s="149" t="str">
        <f t="shared" si="35"/>
        <v/>
      </c>
      <c r="G238" s="201"/>
      <c r="H238" s="149" t="str">
        <f t="shared" si="37"/>
        <v/>
      </c>
      <c r="I238" s="198"/>
      <c r="J238" s="198"/>
      <c r="K238" s="198"/>
      <c r="M238" s="144" t="str">
        <f t="shared" si="38"/>
        <v/>
      </c>
      <c r="N238" s="144" t="str">
        <f t="shared" si="39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6"/>
        <v/>
      </c>
      <c r="E239" s="154"/>
      <c r="F239" s="149" t="str">
        <f t="shared" si="35"/>
        <v/>
      </c>
      <c r="G239" s="201"/>
      <c r="H239" s="149" t="str">
        <f t="shared" si="37"/>
        <v/>
      </c>
      <c r="I239" s="198"/>
      <c r="J239" s="198"/>
      <c r="K239" s="198"/>
      <c r="M239" s="144" t="str">
        <f t="shared" si="38"/>
        <v/>
      </c>
      <c r="N239" s="144" t="str">
        <f t="shared" si="39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6"/>
        <v/>
      </c>
      <c r="E240" s="154"/>
      <c r="F240" s="149" t="str">
        <f t="shared" si="35"/>
        <v/>
      </c>
      <c r="G240" s="201"/>
      <c r="H240" s="149" t="str">
        <f t="shared" si="37"/>
        <v/>
      </c>
      <c r="I240" s="198"/>
      <c r="J240" s="198"/>
      <c r="K240" s="198"/>
      <c r="M240" s="144" t="str">
        <f t="shared" si="38"/>
        <v/>
      </c>
      <c r="N240" s="144" t="str">
        <f t="shared" si="39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6"/>
        <v/>
      </c>
      <c r="E241" s="154"/>
      <c r="F241" s="149" t="str">
        <f t="shared" si="35"/>
        <v/>
      </c>
      <c r="G241" s="201"/>
      <c r="H241" s="149" t="str">
        <f t="shared" si="37"/>
        <v/>
      </c>
      <c r="I241" s="198"/>
      <c r="J241" s="198"/>
      <c r="K241" s="198"/>
      <c r="M241" s="144" t="str">
        <f t="shared" si="38"/>
        <v/>
      </c>
      <c r="N241" s="144" t="str">
        <f t="shared" si="39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6"/>
        <v/>
      </c>
      <c r="E242" s="154"/>
      <c r="F242" s="149" t="str">
        <f t="shared" si="35"/>
        <v/>
      </c>
      <c r="G242" s="201"/>
      <c r="H242" s="149" t="str">
        <f t="shared" si="37"/>
        <v/>
      </c>
      <c r="I242" s="198"/>
      <c r="J242" s="198"/>
      <c r="K242" s="198"/>
      <c r="M242" s="144" t="str">
        <f t="shared" si="38"/>
        <v/>
      </c>
      <c r="N242" s="144" t="str">
        <f t="shared" si="39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6"/>
        <v/>
      </c>
      <c r="E243" s="154"/>
      <c r="F243" s="149" t="str">
        <f t="shared" si="35"/>
        <v/>
      </c>
      <c r="G243" s="201"/>
      <c r="H243" s="149" t="str">
        <f t="shared" si="37"/>
        <v/>
      </c>
      <c r="I243" s="198"/>
      <c r="J243" s="198"/>
      <c r="K243" s="198"/>
      <c r="M243" s="144" t="str">
        <f t="shared" si="38"/>
        <v/>
      </c>
      <c r="N243" s="144" t="str">
        <f t="shared" si="39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6"/>
        <v/>
      </c>
      <c r="E244" s="154"/>
      <c r="F244" s="149" t="str">
        <f t="shared" si="35"/>
        <v/>
      </c>
      <c r="G244" s="201"/>
      <c r="H244" s="149" t="str">
        <f t="shared" si="37"/>
        <v/>
      </c>
      <c r="I244" s="198"/>
      <c r="J244" s="198"/>
      <c r="K244" s="198"/>
      <c r="M244" s="144" t="str">
        <f t="shared" si="38"/>
        <v/>
      </c>
      <c r="N244" s="144" t="str">
        <f t="shared" si="39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6"/>
        <v/>
      </c>
      <c r="E245" s="154"/>
      <c r="F245" s="149" t="str">
        <f t="shared" si="35"/>
        <v/>
      </c>
      <c r="G245" s="201"/>
      <c r="H245" s="149" t="str">
        <f t="shared" si="37"/>
        <v/>
      </c>
      <c r="I245" s="198"/>
      <c r="J245" s="198"/>
      <c r="K245" s="198"/>
      <c r="M245" s="144" t="str">
        <f t="shared" si="38"/>
        <v/>
      </c>
      <c r="N245" s="144" t="str">
        <f t="shared" si="39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6"/>
        <v/>
      </c>
      <c r="E246" s="154"/>
      <c r="F246" s="149" t="str">
        <f t="shared" si="35"/>
        <v/>
      </c>
      <c r="G246" s="201"/>
      <c r="H246" s="149" t="str">
        <f t="shared" si="37"/>
        <v/>
      </c>
      <c r="I246" s="198"/>
      <c r="J246" s="198"/>
      <c r="K246" s="198"/>
      <c r="M246" s="144" t="str">
        <f t="shared" si="38"/>
        <v/>
      </c>
      <c r="N246" s="144" t="str">
        <f t="shared" si="39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6"/>
        <v/>
      </c>
      <c r="E247" s="154"/>
      <c r="F247" s="149" t="str">
        <f t="shared" si="35"/>
        <v/>
      </c>
      <c r="G247" s="201"/>
      <c r="H247" s="149" t="str">
        <f t="shared" si="37"/>
        <v/>
      </c>
      <c r="I247" s="198"/>
      <c r="J247" s="198"/>
      <c r="K247" s="198"/>
      <c r="M247" s="144" t="str">
        <f t="shared" si="38"/>
        <v/>
      </c>
      <c r="N247" s="144" t="str">
        <f t="shared" si="39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6"/>
        <v/>
      </c>
      <c r="E248" s="154"/>
      <c r="F248" s="149" t="str">
        <f t="shared" si="35"/>
        <v/>
      </c>
      <c r="G248" s="201"/>
      <c r="H248" s="149" t="str">
        <f t="shared" si="37"/>
        <v/>
      </c>
      <c r="I248" s="198"/>
      <c r="J248" s="198"/>
      <c r="K248" s="198"/>
      <c r="M248" s="144" t="str">
        <f t="shared" si="38"/>
        <v/>
      </c>
      <c r="N248" s="144" t="str">
        <f t="shared" si="39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6"/>
        <v/>
      </c>
      <c r="E249" s="154"/>
      <c r="F249" s="149" t="str">
        <f t="shared" si="35"/>
        <v/>
      </c>
      <c r="G249" s="201"/>
      <c r="H249" s="149" t="str">
        <f t="shared" si="37"/>
        <v/>
      </c>
      <c r="I249" s="198"/>
      <c r="J249" s="198"/>
      <c r="K249" s="198"/>
      <c r="M249" s="144" t="str">
        <f t="shared" si="38"/>
        <v/>
      </c>
      <c r="N249" s="144" t="str">
        <f t="shared" si="39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6"/>
        <v/>
      </c>
      <c r="E250" s="154"/>
      <c r="F250" s="149" t="str">
        <f t="shared" si="35"/>
        <v/>
      </c>
      <c r="G250" s="201"/>
      <c r="H250" s="149" t="str">
        <f t="shared" si="37"/>
        <v/>
      </c>
      <c r="I250" s="198"/>
      <c r="J250" s="198"/>
      <c r="K250" s="198"/>
      <c r="M250" s="144" t="str">
        <f t="shared" si="38"/>
        <v/>
      </c>
      <c r="N250" s="144" t="str">
        <f t="shared" si="39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6"/>
        <v/>
      </c>
      <c r="E251" s="154"/>
      <c r="F251" s="149" t="str">
        <f t="shared" si="35"/>
        <v/>
      </c>
      <c r="G251" s="201"/>
      <c r="H251" s="149" t="str">
        <f t="shared" si="37"/>
        <v/>
      </c>
      <c r="I251" s="198"/>
      <c r="J251" s="198"/>
      <c r="K251" s="198"/>
      <c r="M251" s="144" t="str">
        <f t="shared" si="38"/>
        <v/>
      </c>
      <c r="N251" s="144" t="str">
        <f t="shared" si="39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6"/>
        <v/>
      </c>
      <c r="E252" s="154"/>
      <c r="F252" s="149" t="str">
        <f t="shared" si="35"/>
        <v/>
      </c>
      <c r="G252" s="201"/>
      <c r="H252" s="149" t="str">
        <f t="shared" si="37"/>
        <v/>
      </c>
      <c r="I252" s="198"/>
      <c r="J252" s="198"/>
      <c r="K252" s="198"/>
      <c r="M252" s="144" t="str">
        <f t="shared" si="38"/>
        <v/>
      </c>
      <c r="N252" s="144" t="str">
        <f t="shared" si="39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6"/>
        <v/>
      </c>
      <c r="E253" s="154"/>
      <c r="F253" s="149" t="str">
        <f t="shared" si="35"/>
        <v/>
      </c>
      <c r="G253" s="201"/>
      <c r="H253" s="149" t="str">
        <f t="shared" si="37"/>
        <v/>
      </c>
      <c r="I253" s="198"/>
      <c r="J253" s="198"/>
      <c r="K253" s="198"/>
      <c r="M253" s="144" t="str">
        <f t="shared" si="38"/>
        <v/>
      </c>
      <c r="N253" s="144" t="str">
        <f t="shared" si="39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6"/>
        <v/>
      </c>
      <c r="E254" s="154"/>
      <c r="F254" s="149" t="str">
        <f t="shared" si="35"/>
        <v/>
      </c>
      <c r="G254" s="201"/>
      <c r="H254" s="149" t="str">
        <f t="shared" si="37"/>
        <v/>
      </c>
      <c r="I254" s="198"/>
      <c r="J254" s="198"/>
      <c r="K254" s="198"/>
      <c r="M254" s="144" t="str">
        <f t="shared" si="38"/>
        <v/>
      </c>
      <c r="N254" s="144" t="str">
        <f t="shared" si="39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6"/>
        <v/>
      </c>
      <c r="E255" s="154"/>
      <c r="F255" s="149" t="str">
        <f t="shared" si="35"/>
        <v/>
      </c>
      <c r="G255" s="201"/>
      <c r="H255" s="149" t="str">
        <f t="shared" si="37"/>
        <v/>
      </c>
      <c r="I255" s="198"/>
      <c r="J255" s="198"/>
      <c r="K255" s="198"/>
      <c r="M255" s="144" t="str">
        <f t="shared" si="38"/>
        <v/>
      </c>
      <c r="N255" s="144" t="str">
        <f t="shared" si="39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6"/>
        <v/>
      </c>
      <c r="E256" s="154"/>
      <c r="F256" s="149" t="str">
        <f t="shared" si="35"/>
        <v/>
      </c>
      <c r="G256" s="201"/>
      <c r="H256" s="149" t="str">
        <f t="shared" si="37"/>
        <v/>
      </c>
      <c r="I256" s="198"/>
      <c r="J256" s="198"/>
      <c r="K256" s="198"/>
      <c r="M256" s="144" t="str">
        <f t="shared" si="38"/>
        <v/>
      </c>
      <c r="N256" s="144" t="str">
        <f t="shared" si="39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6"/>
        <v/>
      </c>
      <c r="E257" s="154"/>
      <c r="F257" s="149" t="str">
        <f t="shared" si="35"/>
        <v/>
      </c>
      <c r="G257" s="201"/>
      <c r="H257" s="149" t="str">
        <f t="shared" si="37"/>
        <v/>
      </c>
      <c r="I257" s="198"/>
      <c r="J257" s="198"/>
      <c r="K257" s="198"/>
      <c r="M257" s="144" t="str">
        <f t="shared" si="38"/>
        <v/>
      </c>
      <c r="N257" s="144" t="str">
        <f t="shared" si="39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6"/>
        <v/>
      </c>
      <c r="E258" s="154"/>
      <c r="F258" s="149" t="str">
        <f t="shared" si="35"/>
        <v/>
      </c>
      <c r="G258" s="201"/>
      <c r="H258" s="149" t="str">
        <f t="shared" si="37"/>
        <v/>
      </c>
      <c r="I258" s="198"/>
      <c r="J258" s="198"/>
      <c r="K258" s="198"/>
      <c r="M258" s="144" t="str">
        <f t="shared" si="38"/>
        <v/>
      </c>
      <c r="N258" s="144" t="str">
        <f t="shared" si="39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6"/>
        <v/>
      </c>
      <c r="E259" s="154"/>
      <c r="F259" s="149" t="str">
        <f t="shared" ref="F259:F322" si="40">IFERROR(VLOOKUP(E259,$R$5:$T$129,2,FALSE),"")</f>
        <v/>
      </c>
      <c r="G259" s="201"/>
      <c r="H259" s="149" t="str">
        <f t="shared" si="37"/>
        <v/>
      </c>
      <c r="I259" s="198"/>
      <c r="J259" s="198"/>
      <c r="K259" s="198"/>
      <c r="M259" s="144" t="str">
        <f t="shared" si="38"/>
        <v/>
      </c>
      <c r="N259" s="144" t="str">
        <f t="shared" si="39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41">IFERROR(VLOOKUP(C260,$O$6:$P$16,2,FALSE),"")</f>
        <v/>
      </c>
      <c r="E260" s="154"/>
      <c r="F260" s="149" t="str">
        <f t="shared" si="40"/>
        <v/>
      </c>
      <c r="G260" s="201"/>
      <c r="H260" s="149" t="str">
        <f t="shared" ref="H260:H323" si="42">IFERROR(VLOOKUP(G260,$X$6:$Y$50,2,FALSE),"")</f>
        <v/>
      </c>
      <c r="I260" s="198"/>
      <c r="J260" s="198"/>
      <c r="K260" s="198"/>
      <c r="M260" s="144" t="str">
        <f t="shared" ref="M260:M323" si="43">LEFT(E260,3)</f>
        <v/>
      </c>
      <c r="N260" s="144" t="str">
        <f t="shared" ref="N260:N323" si="44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41"/>
        <v/>
      </c>
      <c r="E261" s="154"/>
      <c r="F261" s="149" t="str">
        <f t="shared" si="40"/>
        <v/>
      </c>
      <c r="G261" s="201"/>
      <c r="H261" s="149" t="str">
        <f t="shared" si="42"/>
        <v/>
      </c>
      <c r="I261" s="198"/>
      <c r="J261" s="198"/>
      <c r="K261" s="198"/>
      <c r="M261" s="144" t="str">
        <f t="shared" si="43"/>
        <v/>
      </c>
      <c r="N261" s="144" t="str">
        <f t="shared" si="44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41"/>
        <v/>
      </c>
      <c r="E262" s="154"/>
      <c r="F262" s="149" t="str">
        <f t="shared" si="40"/>
        <v/>
      </c>
      <c r="G262" s="201"/>
      <c r="H262" s="149" t="str">
        <f t="shared" si="42"/>
        <v/>
      </c>
      <c r="I262" s="198"/>
      <c r="J262" s="198"/>
      <c r="K262" s="198"/>
      <c r="M262" s="144" t="str">
        <f t="shared" si="43"/>
        <v/>
      </c>
      <c r="N262" s="144" t="str">
        <f t="shared" si="44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41"/>
        <v/>
      </c>
      <c r="E263" s="154"/>
      <c r="F263" s="149" t="str">
        <f t="shared" si="40"/>
        <v/>
      </c>
      <c r="G263" s="201"/>
      <c r="H263" s="149" t="str">
        <f t="shared" si="42"/>
        <v/>
      </c>
      <c r="I263" s="198"/>
      <c r="J263" s="198"/>
      <c r="K263" s="198"/>
      <c r="M263" s="144" t="str">
        <f t="shared" si="43"/>
        <v/>
      </c>
      <c r="N263" s="144" t="str">
        <f t="shared" si="44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41"/>
        <v/>
      </c>
      <c r="E264" s="154"/>
      <c r="F264" s="149" t="str">
        <f t="shared" si="40"/>
        <v/>
      </c>
      <c r="G264" s="201"/>
      <c r="H264" s="149" t="str">
        <f t="shared" si="42"/>
        <v/>
      </c>
      <c r="I264" s="198"/>
      <c r="J264" s="198"/>
      <c r="K264" s="198"/>
      <c r="M264" s="144" t="str">
        <f t="shared" si="43"/>
        <v/>
      </c>
      <c r="N264" s="144" t="str">
        <f t="shared" si="44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41"/>
        <v/>
      </c>
      <c r="E265" s="154"/>
      <c r="F265" s="149" t="str">
        <f t="shared" si="40"/>
        <v/>
      </c>
      <c r="G265" s="201"/>
      <c r="H265" s="149" t="str">
        <f t="shared" si="42"/>
        <v/>
      </c>
      <c r="I265" s="198"/>
      <c r="J265" s="198"/>
      <c r="K265" s="198"/>
      <c r="M265" s="144" t="str">
        <f t="shared" si="43"/>
        <v/>
      </c>
      <c r="N265" s="144" t="str">
        <f t="shared" si="44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41"/>
        <v/>
      </c>
      <c r="E266" s="154"/>
      <c r="F266" s="149" t="str">
        <f t="shared" si="40"/>
        <v/>
      </c>
      <c r="G266" s="201"/>
      <c r="H266" s="149" t="str">
        <f t="shared" si="42"/>
        <v/>
      </c>
      <c r="I266" s="198"/>
      <c r="J266" s="198"/>
      <c r="K266" s="198"/>
      <c r="M266" s="144" t="str">
        <f t="shared" si="43"/>
        <v/>
      </c>
      <c r="N266" s="144" t="str">
        <f t="shared" si="44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41"/>
        <v/>
      </c>
      <c r="E267" s="154"/>
      <c r="F267" s="149" t="str">
        <f t="shared" si="40"/>
        <v/>
      </c>
      <c r="G267" s="201"/>
      <c r="H267" s="149" t="str">
        <f t="shared" si="42"/>
        <v/>
      </c>
      <c r="I267" s="198"/>
      <c r="J267" s="198"/>
      <c r="K267" s="198"/>
      <c r="M267" s="144" t="str">
        <f t="shared" si="43"/>
        <v/>
      </c>
      <c r="N267" s="144" t="str">
        <f t="shared" si="44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41"/>
        <v/>
      </c>
      <c r="E268" s="154"/>
      <c r="F268" s="149" t="str">
        <f t="shared" si="40"/>
        <v/>
      </c>
      <c r="G268" s="201"/>
      <c r="H268" s="149" t="str">
        <f t="shared" si="42"/>
        <v/>
      </c>
      <c r="I268" s="198"/>
      <c r="J268" s="198"/>
      <c r="K268" s="198"/>
      <c r="M268" s="144" t="str">
        <f t="shared" si="43"/>
        <v/>
      </c>
      <c r="N268" s="144" t="str">
        <f t="shared" si="44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41"/>
        <v/>
      </c>
      <c r="E269" s="154"/>
      <c r="F269" s="149" t="str">
        <f t="shared" si="40"/>
        <v/>
      </c>
      <c r="G269" s="201"/>
      <c r="H269" s="149" t="str">
        <f t="shared" si="42"/>
        <v/>
      </c>
      <c r="I269" s="198"/>
      <c r="J269" s="198"/>
      <c r="K269" s="198"/>
      <c r="M269" s="144" t="str">
        <f t="shared" si="43"/>
        <v/>
      </c>
      <c r="N269" s="144" t="str">
        <f t="shared" si="44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41"/>
        <v/>
      </c>
      <c r="E270" s="154"/>
      <c r="F270" s="149" t="str">
        <f t="shared" si="40"/>
        <v/>
      </c>
      <c r="G270" s="201"/>
      <c r="H270" s="149" t="str">
        <f t="shared" si="42"/>
        <v/>
      </c>
      <c r="I270" s="198"/>
      <c r="J270" s="198"/>
      <c r="K270" s="198"/>
      <c r="M270" s="144" t="str">
        <f t="shared" si="43"/>
        <v/>
      </c>
      <c r="N270" s="144" t="str">
        <f t="shared" si="44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41"/>
        <v/>
      </c>
      <c r="E271" s="154"/>
      <c r="F271" s="149" t="str">
        <f t="shared" si="40"/>
        <v/>
      </c>
      <c r="G271" s="201"/>
      <c r="H271" s="149" t="str">
        <f t="shared" si="42"/>
        <v/>
      </c>
      <c r="I271" s="198"/>
      <c r="J271" s="198"/>
      <c r="K271" s="198"/>
      <c r="M271" s="144" t="str">
        <f t="shared" si="43"/>
        <v/>
      </c>
      <c r="N271" s="144" t="str">
        <f t="shared" si="44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41"/>
        <v/>
      </c>
      <c r="E272" s="154"/>
      <c r="F272" s="149" t="str">
        <f t="shared" si="40"/>
        <v/>
      </c>
      <c r="G272" s="201"/>
      <c r="H272" s="149" t="str">
        <f t="shared" si="42"/>
        <v/>
      </c>
      <c r="I272" s="198"/>
      <c r="J272" s="198"/>
      <c r="K272" s="198"/>
      <c r="M272" s="144" t="str">
        <f t="shared" si="43"/>
        <v/>
      </c>
      <c r="N272" s="144" t="str">
        <f t="shared" si="44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41"/>
        <v/>
      </c>
      <c r="E273" s="154"/>
      <c r="F273" s="149" t="str">
        <f t="shared" si="40"/>
        <v/>
      </c>
      <c r="G273" s="201"/>
      <c r="H273" s="149" t="str">
        <f t="shared" si="42"/>
        <v/>
      </c>
      <c r="I273" s="198"/>
      <c r="J273" s="198"/>
      <c r="K273" s="198"/>
      <c r="M273" s="144" t="str">
        <f t="shared" si="43"/>
        <v/>
      </c>
      <c r="N273" s="144" t="str">
        <f t="shared" si="44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41"/>
        <v/>
      </c>
      <c r="E274" s="154"/>
      <c r="F274" s="149" t="str">
        <f t="shared" si="40"/>
        <v/>
      </c>
      <c r="G274" s="201"/>
      <c r="H274" s="149" t="str">
        <f t="shared" si="42"/>
        <v/>
      </c>
      <c r="I274" s="198"/>
      <c r="J274" s="198"/>
      <c r="K274" s="198"/>
      <c r="M274" s="144" t="str">
        <f t="shared" si="43"/>
        <v/>
      </c>
      <c r="N274" s="144" t="str">
        <f t="shared" si="44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41"/>
        <v/>
      </c>
      <c r="E275" s="154"/>
      <c r="F275" s="149" t="str">
        <f t="shared" si="40"/>
        <v/>
      </c>
      <c r="G275" s="201"/>
      <c r="H275" s="149" t="str">
        <f t="shared" si="42"/>
        <v/>
      </c>
      <c r="I275" s="198"/>
      <c r="J275" s="198"/>
      <c r="K275" s="198"/>
      <c r="M275" s="144" t="str">
        <f t="shared" si="43"/>
        <v/>
      </c>
      <c r="N275" s="144" t="str">
        <f t="shared" si="44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41"/>
        <v/>
      </c>
      <c r="E276" s="154"/>
      <c r="F276" s="149" t="str">
        <f t="shared" si="40"/>
        <v/>
      </c>
      <c r="G276" s="201"/>
      <c r="H276" s="149" t="str">
        <f t="shared" si="42"/>
        <v/>
      </c>
      <c r="I276" s="198"/>
      <c r="J276" s="198"/>
      <c r="K276" s="198"/>
      <c r="M276" s="144" t="str">
        <f t="shared" si="43"/>
        <v/>
      </c>
      <c r="N276" s="144" t="str">
        <f t="shared" si="44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41"/>
        <v/>
      </c>
      <c r="E277" s="154"/>
      <c r="F277" s="149" t="str">
        <f t="shared" si="40"/>
        <v/>
      </c>
      <c r="G277" s="201"/>
      <c r="H277" s="149" t="str">
        <f t="shared" si="42"/>
        <v/>
      </c>
      <c r="I277" s="198"/>
      <c r="J277" s="198"/>
      <c r="K277" s="198"/>
      <c r="M277" s="144" t="str">
        <f t="shared" si="43"/>
        <v/>
      </c>
      <c r="N277" s="144" t="str">
        <f t="shared" si="44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41"/>
        <v/>
      </c>
      <c r="E278" s="154"/>
      <c r="F278" s="149" t="str">
        <f t="shared" si="40"/>
        <v/>
      </c>
      <c r="G278" s="201"/>
      <c r="H278" s="149" t="str">
        <f t="shared" si="42"/>
        <v/>
      </c>
      <c r="I278" s="198"/>
      <c r="J278" s="198"/>
      <c r="K278" s="198"/>
      <c r="M278" s="144" t="str">
        <f t="shared" si="43"/>
        <v/>
      </c>
      <c r="N278" s="144" t="str">
        <f t="shared" si="44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41"/>
        <v/>
      </c>
      <c r="E279" s="154"/>
      <c r="F279" s="149" t="str">
        <f t="shared" si="40"/>
        <v/>
      </c>
      <c r="G279" s="201"/>
      <c r="H279" s="149" t="str">
        <f t="shared" si="42"/>
        <v/>
      </c>
      <c r="I279" s="198"/>
      <c r="J279" s="198"/>
      <c r="K279" s="198"/>
      <c r="M279" s="144" t="str">
        <f t="shared" si="43"/>
        <v/>
      </c>
      <c r="N279" s="144" t="str">
        <f t="shared" si="44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41"/>
        <v/>
      </c>
      <c r="E280" s="154"/>
      <c r="F280" s="149" t="str">
        <f t="shared" si="40"/>
        <v/>
      </c>
      <c r="G280" s="201"/>
      <c r="H280" s="149" t="str">
        <f t="shared" si="42"/>
        <v/>
      </c>
      <c r="I280" s="198"/>
      <c r="J280" s="198"/>
      <c r="K280" s="198"/>
      <c r="M280" s="144" t="str">
        <f t="shared" si="43"/>
        <v/>
      </c>
      <c r="N280" s="144" t="str">
        <f t="shared" si="44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41"/>
        <v/>
      </c>
      <c r="E281" s="154"/>
      <c r="F281" s="149" t="str">
        <f t="shared" si="40"/>
        <v/>
      </c>
      <c r="G281" s="201"/>
      <c r="H281" s="149" t="str">
        <f t="shared" si="42"/>
        <v/>
      </c>
      <c r="I281" s="198"/>
      <c r="J281" s="198"/>
      <c r="K281" s="198"/>
      <c r="M281" s="144" t="str">
        <f t="shared" si="43"/>
        <v/>
      </c>
      <c r="N281" s="144" t="str">
        <f t="shared" si="44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41"/>
        <v/>
      </c>
      <c r="E282" s="154"/>
      <c r="F282" s="149" t="str">
        <f t="shared" si="40"/>
        <v/>
      </c>
      <c r="G282" s="201"/>
      <c r="H282" s="149" t="str">
        <f t="shared" si="42"/>
        <v/>
      </c>
      <c r="I282" s="198"/>
      <c r="J282" s="198"/>
      <c r="K282" s="198"/>
      <c r="M282" s="144" t="str">
        <f t="shared" si="43"/>
        <v/>
      </c>
      <c r="N282" s="144" t="str">
        <f t="shared" si="44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41"/>
        <v/>
      </c>
      <c r="E283" s="154"/>
      <c r="F283" s="149" t="str">
        <f t="shared" si="40"/>
        <v/>
      </c>
      <c r="G283" s="201"/>
      <c r="H283" s="149" t="str">
        <f t="shared" si="42"/>
        <v/>
      </c>
      <c r="I283" s="198"/>
      <c r="J283" s="198"/>
      <c r="K283" s="198"/>
      <c r="M283" s="144" t="str">
        <f t="shared" si="43"/>
        <v/>
      </c>
      <c r="N283" s="144" t="str">
        <f t="shared" si="44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41"/>
        <v/>
      </c>
      <c r="E284" s="154"/>
      <c r="F284" s="149" t="str">
        <f t="shared" si="40"/>
        <v/>
      </c>
      <c r="G284" s="201"/>
      <c r="H284" s="149" t="str">
        <f t="shared" si="42"/>
        <v/>
      </c>
      <c r="I284" s="198"/>
      <c r="J284" s="198"/>
      <c r="K284" s="198"/>
      <c r="M284" s="144" t="str">
        <f t="shared" si="43"/>
        <v/>
      </c>
      <c r="N284" s="144" t="str">
        <f t="shared" si="44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41"/>
        <v/>
      </c>
      <c r="E285" s="154"/>
      <c r="F285" s="149" t="str">
        <f t="shared" si="40"/>
        <v/>
      </c>
      <c r="G285" s="201"/>
      <c r="H285" s="149" t="str">
        <f t="shared" si="42"/>
        <v/>
      </c>
      <c r="I285" s="198"/>
      <c r="J285" s="198"/>
      <c r="K285" s="198"/>
      <c r="M285" s="144" t="str">
        <f t="shared" si="43"/>
        <v/>
      </c>
      <c r="N285" s="144" t="str">
        <f t="shared" si="44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41"/>
        <v/>
      </c>
      <c r="E286" s="154"/>
      <c r="F286" s="149" t="str">
        <f t="shared" si="40"/>
        <v/>
      </c>
      <c r="G286" s="201"/>
      <c r="H286" s="149" t="str">
        <f t="shared" si="42"/>
        <v/>
      </c>
      <c r="I286" s="198"/>
      <c r="J286" s="198"/>
      <c r="K286" s="198"/>
      <c r="M286" s="144" t="str">
        <f t="shared" si="43"/>
        <v/>
      </c>
      <c r="N286" s="144" t="str">
        <f t="shared" si="44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41"/>
        <v/>
      </c>
      <c r="E287" s="154"/>
      <c r="F287" s="149" t="str">
        <f t="shared" si="40"/>
        <v/>
      </c>
      <c r="G287" s="201"/>
      <c r="H287" s="149" t="str">
        <f t="shared" si="42"/>
        <v/>
      </c>
      <c r="I287" s="198"/>
      <c r="J287" s="198"/>
      <c r="K287" s="198"/>
      <c r="M287" s="144" t="str">
        <f t="shared" si="43"/>
        <v/>
      </c>
      <c r="N287" s="144" t="str">
        <f t="shared" si="44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41"/>
        <v/>
      </c>
      <c r="E288" s="154"/>
      <c r="F288" s="149" t="str">
        <f t="shared" si="40"/>
        <v/>
      </c>
      <c r="G288" s="201"/>
      <c r="H288" s="149" t="str">
        <f t="shared" si="42"/>
        <v/>
      </c>
      <c r="I288" s="198"/>
      <c r="J288" s="198"/>
      <c r="K288" s="198"/>
      <c r="M288" s="144" t="str">
        <f t="shared" si="43"/>
        <v/>
      </c>
      <c r="N288" s="144" t="str">
        <f t="shared" si="44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41"/>
        <v/>
      </c>
      <c r="E289" s="154"/>
      <c r="F289" s="149" t="str">
        <f t="shared" si="40"/>
        <v/>
      </c>
      <c r="G289" s="201"/>
      <c r="H289" s="149" t="str">
        <f t="shared" si="42"/>
        <v/>
      </c>
      <c r="I289" s="198"/>
      <c r="J289" s="198"/>
      <c r="K289" s="198"/>
      <c r="M289" s="144" t="str">
        <f t="shared" si="43"/>
        <v/>
      </c>
      <c r="N289" s="144" t="str">
        <f t="shared" si="44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41"/>
        <v/>
      </c>
      <c r="E290" s="154"/>
      <c r="F290" s="149" t="str">
        <f t="shared" si="40"/>
        <v/>
      </c>
      <c r="G290" s="201"/>
      <c r="H290" s="149" t="str">
        <f t="shared" si="42"/>
        <v/>
      </c>
      <c r="I290" s="198"/>
      <c r="J290" s="198"/>
      <c r="K290" s="198"/>
      <c r="M290" s="144" t="str">
        <f t="shared" si="43"/>
        <v/>
      </c>
      <c r="N290" s="144" t="str">
        <f t="shared" si="44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41"/>
        <v/>
      </c>
      <c r="E291" s="154"/>
      <c r="F291" s="149" t="str">
        <f t="shared" si="40"/>
        <v/>
      </c>
      <c r="G291" s="201"/>
      <c r="H291" s="149" t="str">
        <f t="shared" si="42"/>
        <v/>
      </c>
      <c r="I291" s="198"/>
      <c r="J291" s="198"/>
      <c r="K291" s="198"/>
      <c r="M291" s="144" t="str">
        <f t="shared" si="43"/>
        <v/>
      </c>
      <c r="N291" s="144" t="str">
        <f t="shared" si="44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41"/>
        <v/>
      </c>
      <c r="E292" s="154"/>
      <c r="F292" s="149" t="str">
        <f t="shared" si="40"/>
        <v/>
      </c>
      <c r="G292" s="201"/>
      <c r="H292" s="149" t="str">
        <f t="shared" si="42"/>
        <v/>
      </c>
      <c r="I292" s="198"/>
      <c r="J292" s="198"/>
      <c r="K292" s="198"/>
      <c r="M292" s="144" t="str">
        <f t="shared" si="43"/>
        <v/>
      </c>
      <c r="N292" s="144" t="str">
        <f t="shared" si="44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41"/>
        <v/>
      </c>
      <c r="E293" s="154"/>
      <c r="F293" s="149" t="str">
        <f t="shared" si="40"/>
        <v/>
      </c>
      <c r="G293" s="201"/>
      <c r="H293" s="149" t="str">
        <f t="shared" si="42"/>
        <v/>
      </c>
      <c r="I293" s="198"/>
      <c r="J293" s="198"/>
      <c r="K293" s="198"/>
      <c r="M293" s="144" t="str">
        <f t="shared" si="43"/>
        <v/>
      </c>
      <c r="N293" s="144" t="str">
        <f t="shared" si="44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41"/>
        <v/>
      </c>
      <c r="E294" s="154"/>
      <c r="F294" s="149" t="str">
        <f t="shared" si="40"/>
        <v/>
      </c>
      <c r="G294" s="201"/>
      <c r="H294" s="149" t="str">
        <f t="shared" si="42"/>
        <v/>
      </c>
      <c r="I294" s="198"/>
      <c r="J294" s="198"/>
      <c r="K294" s="198"/>
      <c r="M294" s="144" t="str">
        <f t="shared" si="43"/>
        <v/>
      </c>
      <c r="N294" s="144" t="str">
        <f t="shared" si="44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41"/>
        <v/>
      </c>
      <c r="E295" s="154"/>
      <c r="F295" s="149" t="str">
        <f t="shared" si="40"/>
        <v/>
      </c>
      <c r="G295" s="201"/>
      <c r="H295" s="149" t="str">
        <f t="shared" si="42"/>
        <v/>
      </c>
      <c r="I295" s="198"/>
      <c r="J295" s="198"/>
      <c r="K295" s="198"/>
      <c r="M295" s="144" t="str">
        <f t="shared" si="43"/>
        <v/>
      </c>
      <c r="N295" s="144" t="str">
        <f t="shared" si="44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41"/>
        <v/>
      </c>
      <c r="E296" s="154"/>
      <c r="F296" s="149" t="str">
        <f t="shared" si="40"/>
        <v/>
      </c>
      <c r="G296" s="201"/>
      <c r="H296" s="149" t="str">
        <f t="shared" si="42"/>
        <v/>
      </c>
      <c r="I296" s="198"/>
      <c r="J296" s="198"/>
      <c r="K296" s="198"/>
      <c r="M296" s="144" t="str">
        <f t="shared" si="43"/>
        <v/>
      </c>
      <c r="N296" s="144" t="str">
        <f t="shared" si="44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41"/>
        <v/>
      </c>
      <c r="E297" s="154"/>
      <c r="F297" s="149" t="str">
        <f t="shared" si="40"/>
        <v/>
      </c>
      <c r="G297" s="201"/>
      <c r="H297" s="149" t="str">
        <f t="shared" si="42"/>
        <v/>
      </c>
      <c r="I297" s="198"/>
      <c r="J297" s="198"/>
      <c r="K297" s="198"/>
      <c r="M297" s="144" t="str">
        <f t="shared" si="43"/>
        <v/>
      </c>
      <c r="N297" s="144" t="str">
        <f t="shared" si="44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41"/>
        <v/>
      </c>
      <c r="E298" s="154"/>
      <c r="F298" s="149" t="str">
        <f t="shared" si="40"/>
        <v/>
      </c>
      <c r="G298" s="201"/>
      <c r="H298" s="149" t="str">
        <f t="shared" si="42"/>
        <v/>
      </c>
      <c r="I298" s="198"/>
      <c r="J298" s="198"/>
      <c r="K298" s="198"/>
      <c r="M298" s="144" t="str">
        <f t="shared" si="43"/>
        <v/>
      </c>
      <c r="N298" s="144" t="str">
        <f t="shared" si="44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41"/>
        <v/>
      </c>
      <c r="E299" s="154"/>
      <c r="F299" s="149" t="str">
        <f t="shared" si="40"/>
        <v/>
      </c>
      <c r="G299" s="201"/>
      <c r="H299" s="149" t="str">
        <f t="shared" si="42"/>
        <v/>
      </c>
      <c r="I299" s="198"/>
      <c r="J299" s="198"/>
      <c r="K299" s="198"/>
      <c r="M299" s="144" t="str">
        <f t="shared" si="43"/>
        <v/>
      </c>
      <c r="N299" s="144" t="str">
        <f t="shared" si="44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41"/>
        <v/>
      </c>
      <c r="E300" s="154"/>
      <c r="F300" s="149" t="str">
        <f t="shared" si="40"/>
        <v/>
      </c>
      <c r="G300" s="201"/>
      <c r="H300" s="149" t="str">
        <f t="shared" si="42"/>
        <v/>
      </c>
      <c r="I300" s="198"/>
      <c r="J300" s="198"/>
      <c r="K300" s="198"/>
      <c r="M300" s="144" t="str">
        <f t="shared" si="43"/>
        <v/>
      </c>
      <c r="N300" s="144" t="str">
        <f t="shared" si="44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41"/>
        <v/>
      </c>
      <c r="E301" s="154"/>
      <c r="F301" s="149" t="str">
        <f t="shared" si="40"/>
        <v/>
      </c>
      <c r="G301" s="201"/>
      <c r="H301" s="149" t="str">
        <f t="shared" si="42"/>
        <v/>
      </c>
      <c r="I301" s="198"/>
      <c r="J301" s="198"/>
      <c r="K301" s="198"/>
      <c r="M301" s="144" t="str">
        <f t="shared" si="43"/>
        <v/>
      </c>
      <c r="N301" s="144" t="str">
        <f t="shared" si="44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41"/>
        <v/>
      </c>
      <c r="E302" s="154"/>
      <c r="F302" s="149" t="str">
        <f t="shared" si="40"/>
        <v/>
      </c>
      <c r="G302" s="201"/>
      <c r="H302" s="149" t="str">
        <f t="shared" si="42"/>
        <v/>
      </c>
      <c r="I302" s="198"/>
      <c r="J302" s="198"/>
      <c r="K302" s="198"/>
      <c r="M302" s="144" t="str">
        <f t="shared" si="43"/>
        <v/>
      </c>
      <c r="N302" s="144" t="str">
        <f t="shared" si="44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41"/>
        <v/>
      </c>
      <c r="E303" s="154"/>
      <c r="F303" s="149" t="str">
        <f t="shared" si="40"/>
        <v/>
      </c>
      <c r="G303" s="201"/>
      <c r="H303" s="149" t="str">
        <f t="shared" si="42"/>
        <v/>
      </c>
      <c r="I303" s="198"/>
      <c r="J303" s="198"/>
      <c r="K303" s="198"/>
      <c r="M303" s="144" t="str">
        <f t="shared" si="43"/>
        <v/>
      </c>
      <c r="N303" s="144" t="str">
        <f t="shared" si="44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41"/>
        <v/>
      </c>
      <c r="E304" s="154"/>
      <c r="F304" s="149" t="str">
        <f t="shared" si="40"/>
        <v/>
      </c>
      <c r="G304" s="201"/>
      <c r="H304" s="149" t="str">
        <f t="shared" si="42"/>
        <v/>
      </c>
      <c r="I304" s="198"/>
      <c r="J304" s="198"/>
      <c r="K304" s="198"/>
      <c r="M304" s="144" t="str">
        <f t="shared" si="43"/>
        <v/>
      </c>
      <c r="N304" s="144" t="str">
        <f t="shared" si="44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41"/>
        <v/>
      </c>
      <c r="E305" s="154"/>
      <c r="F305" s="149" t="str">
        <f t="shared" si="40"/>
        <v/>
      </c>
      <c r="G305" s="201"/>
      <c r="H305" s="149" t="str">
        <f t="shared" si="42"/>
        <v/>
      </c>
      <c r="I305" s="198"/>
      <c r="J305" s="198"/>
      <c r="K305" s="198"/>
      <c r="M305" s="144" t="str">
        <f t="shared" si="43"/>
        <v/>
      </c>
      <c r="N305" s="144" t="str">
        <f t="shared" si="44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41"/>
        <v/>
      </c>
      <c r="E306" s="154"/>
      <c r="F306" s="149" t="str">
        <f t="shared" si="40"/>
        <v/>
      </c>
      <c r="G306" s="201"/>
      <c r="H306" s="149" t="str">
        <f t="shared" si="42"/>
        <v/>
      </c>
      <c r="I306" s="198"/>
      <c r="J306" s="198"/>
      <c r="K306" s="198"/>
      <c r="M306" s="144" t="str">
        <f t="shared" si="43"/>
        <v/>
      </c>
      <c r="N306" s="144" t="str">
        <f t="shared" si="44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41"/>
        <v/>
      </c>
      <c r="E307" s="154"/>
      <c r="F307" s="149" t="str">
        <f t="shared" si="40"/>
        <v/>
      </c>
      <c r="G307" s="201"/>
      <c r="H307" s="149" t="str">
        <f t="shared" si="42"/>
        <v/>
      </c>
      <c r="I307" s="198"/>
      <c r="J307" s="198"/>
      <c r="K307" s="198"/>
      <c r="M307" s="144" t="str">
        <f t="shared" si="43"/>
        <v/>
      </c>
      <c r="N307" s="144" t="str">
        <f t="shared" si="44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41"/>
        <v/>
      </c>
      <c r="E308" s="154"/>
      <c r="F308" s="149" t="str">
        <f t="shared" si="40"/>
        <v/>
      </c>
      <c r="G308" s="201"/>
      <c r="H308" s="149" t="str">
        <f t="shared" si="42"/>
        <v/>
      </c>
      <c r="I308" s="198"/>
      <c r="J308" s="198"/>
      <c r="K308" s="198"/>
      <c r="M308" s="144" t="str">
        <f t="shared" si="43"/>
        <v/>
      </c>
      <c r="N308" s="144" t="str">
        <f t="shared" si="44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41"/>
        <v/>
      </c>
      <c r="E309" s="154"/>
      <c r="F309" s="149" t="str">
        <f t="shared" si="40"/>
        <v/>
      </c>
      <c r="G309" s="201"/>
      <c r="H309" s="149" t="str">
        <f t="shared" si="42"/>
        <v/>
      </c>
      <c r="I309" s="198"/>
      <c r="J309" s="198"/>
      <c r="K309" s="198"/>
      <c r="M309" s="144" t="str">
        <f t="shared" si="43"/>
        <v/>
      </c>
      <c r="N309" s="144" t="str">
        <f t="shared" si="44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41"/>
        <v/>
      </c>
      <c r="E310" s="154"/>
      <c r="F310" s="149" t="str">
        <f t="shared" si="40"/>
        <v/>
      </c>
      <c r="G310" s="201"/>
      <c r="H310" s="149" t="str">
        <f t="shared" si="42"/>
        <v/>
      </c>
      <c r="I310" s="198"/>
      <c r="J310" s="198"/>
      <c r="K310" s="198"/>
      <c r="M310" s="144" t="str">
        <f t="shared" si="43"/>
        <v/>
      </c>
      <c r="N310" s="144" t="str">
        <f t="shared" si="44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41"/>
        <v/>
      </c>
      <c r="E311" s="154"/>
      <c r="F311" s="149" t="str">
        <f t="shared" si="40"/>
        <v/>
      </c>
      <c r="G311" s="201"/>
      <c r="H311" s="149" t="str">
        <f t="shared" si="42"/>
        <v/>
      </c>
      <c r="I311" s="198"/>
      <c r="J311" s="198"/>
      <c r="K311" s="198"/>
      <c r="M311" s="144" t="str">
        <f t="shared" si="43"/>
        <v/>
      </c>
      <c r="N311" s="144" t="str">
        <f t="shared" si="44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41"/>
        <v/>
      </c>
      <c r="E312" s="154"/>
      <c r="F312" s="149" t="str">
        <f t="shared" si="40"/>
        <v/>
      </c>
      <c r="G312" s="201"/>
      <c r="H312" s="149" t="str">
        <f t="shared" si="42"/>
        <v/>
      </c>
      <c r="I312" s="198"/>
      <c r="J312" s="198"/>
      <c r="K312" s="198"/>
      <c r="M312" s="144" t="str">
        <f t="shared" si="43"/>
        <v/>
      </c>
      <c r="N312" s="144" t="str">
        <f t="shared" si="44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41"/>
        <v/>
      </c>
      <c r="E313" s="154"/>
      <c r="F313" s="149" t="str">
        <f t="shared" si="40"/>
        <v/>
      </c>
      <c r="G313" s="201"/>
      <c r="H313" s="149" t="str">
        <f t="shared" si="42"/>
        <v/>
      </c>
      <c r="I313" s="198"/>
      <c r="J313" s="198"/>
      <c r="K313" s="198"/>
      <c r="M313" s="144" t="str">
        <f t="shared" si="43"/>
        <v/>
      </c>
      <c r="N313" s="144" t="str">
        <f t="shared" si="44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41"/>
        <v/>
      </c>
      <c r="E314" s="154"/>
      <c r="F314" s="149" t="str">
        <f t="shared" si="40"/>
        <v/>
      </c>
      <c r="G314" s="201"/>
      <c r="H314" s="149" t="str">
        <f t="shared" si="42"/>
        <v/>
      </c>
      <c r="I314" s="198"/>
      <c r="J314" s="198"/>
      <c r="K314" s="198"/>
      <c r="M314" s="144" t="str">
        <f t="shared" si="43"/>
        <v/>
      </c>
      <c r="N314" s="144" t="str">
        <f t="shared" si="44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41"/>
        <v/>
      </c>
      <c r="E315" s="154"/>
      <c r="F315" s="149" t="str">
        <f t="shared" si="40"/>
        <v/>
      </c>
      <c r="G315" s="201"/>
      <c r="H315" s="149" t="str">
        <f t="shared" si="42"/>
        <v/>
      </c>
      <c r="I315" s="198"/>
      <c r="J315" s="198"/>
      <c r="K315" s="198"/>
      <c r="M315" s="144" t="str">
        <f t="shared" si="43"/>
        <v/>
      </c>
      <c r="N315" s="144" t="str">
        <f t="shared" si="44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41"/>
        <v/>
      </c>
      <c r="E316" s="154"/>
      <c r="F316" s="149" t="str">
        <f t="shared" si="40"/>
        <v/>
      </c>
      <c r="G316" s="201"/>
      <c r="H316" s="149" t="str">
        <f t="shared" si="42"/>
        <v/>
      </c>
      <c r="I316" s="198"/>
      <c r="J316" s="198"/>
      <c r="K316" s="198"/>
      <c r="M316" s="144" t="str">
        <f t="shared" si="43"/>
        <v/>
      </c>
      <c r="N316" s="144" t="str">
        <f t="shared" si="44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41"/>
        <v/>
      </c>
      <c r="E317" s="154"/>
      <c r="F317" s="149" t="str">
        <f t="shared" si="40"/>
        <v/>
      </c>
      <c r="G317" s="201"/>
      <c r="H317" s="149" t="str">
        <f t="shared" si="42"/>
        <v/>
      </c>
      <c r="I317" s="198"/>
      <c r="J317" s="198"/>
      <c r="K317" s="198"/>
      <c r="M317" s="144" t="str">
        <f t="shared" si="43"/>
        <v/>
      </c>
      <c r="N317" s="144" t="str">
        <f t="shared" si="44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41"/>
        <v/>
      </c>
      <c r="E318" s="154"/>
      <c r="F318" s="149" t="str">
        <f t="shared" si="40"/>
        <v/>
      </c>
      <c r="G318" s="201"/>
      <c r="H318" s="149" t="str">
        <f t="shared" si="42"/>
        <v/>
      </c>
      <c r="I318" s="198"/>
      <c r="J318" s="198"/>
      <c r="K318" s="198"/>
      <c r="M318" s="144" t="str">
        <f t="shared" si="43"/>
        <v/>
      </c>
      <c r="N318" s="144" t="str">
        <f t="shared" si="44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41"/>
        <v/>
      </c>
      <c r="E319" s="154"/>
      <c r="F319" s="149" t="str">
        <f t="shared" si="40"/>
        <v/>
      </c>
      <c r="G319" s="201"/>
      <c r="H319" s="149" t="str">
        <f t="shared" si="42"/>
        <v/>
      </c>
      <c r="I319" s="198"/>
      <c r="J319" s="198"/>
      <c r="K319" s="198"/>
      <c r="M319" s="144" t="str">
        <f t="shared" si="43"/>
        <v/>
      </c>
      <c r="N319" s="144" t="str">
        <f t="shared" si="44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41"/>
        <v/>
      </c>
      <c r="E320" s="154"/>
      <c r="F320" s="149" t="str">
        <f t="shared" si="40"/>
        <v/>
      </c>
      <c r="G320" s="201"/>
      <c r="H320" s="149" t="str">
        <f t="shared" si="42"/>
        <v/>
      </c>
      <c r="I320" s="198"/>
      <c r="J320" s="198"/>
      <c r="K320" s="198"/>
      <c r="M320" s="144" t="str">
        <f t="shared" si="43"/>
        <v/>
      </c>
      <c r="N320" s="144" t="str">
        <f t="shared" si="44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41"/>
        <v/>
      </c>
      <c r="E321" s="154"/>
      <c r="F321" s="149" t="str">
        <f t="shared" si="40"/>
        <v/>
      </c>
      <c r="G321" s="201"/>
      <c r="H321" s="149" t="str">
        <f t="shared" si="42"/>
        <v/>
      </c>
      <c r="I321" s="198"/>
      <c r="J321" s="198"/>
      <c r="K321" s="198"/>
      <c r="M321" s="144" t="str">
        <f t="shared" si="43"/>
        <v/>
      </c>
      <c r="N321" s="144" t="str">
        <f t="shared" si="44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41"/>
        <v/>
      </c>
      <c r="E322" s="154"/>
      <c r="F322" s="149" t="str">
        <f t="shared" si="40"/>
        <v/>
      </c>
      <c r="G322" s="201"/>
      <c r="H322" s="149" t="str">
        <f t="shared" si="42"/>
        <v/>
      </c>
      <c r="I322" s="198"/>
      <c r="J322" s="198"/>
      <c r="K322" s="198"/>
      <c r="M322" s="144" t="str">
        <f t="shared" si="43"/>
        <v/>
      </c>
      <c r="N322" s="144" t="str">
        <f t="shared" si="44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41"/>
        <v/>
      </c>
      <c r="E323" s="154"/>
      <c r="F323" s="149" t="str">
        <f t="shared" ref="F323:F386" si="45">IFERROR(VLOOKUP(E323,$R$5:$T$129,2,FALSE),"")</f>
        <v/>
      </c>
      <c r="G323" s="201"/>
      <c r="H323" s="149" t="str">
        <f t="shared" si="42"/>
        <v/>
      </c>
      <c r="I323" s="198"/>
      <c r="J323" s="198"/>
      <c r="K323" s="198"/>
      <c r="M323" s="144" t="str">
        <f t="shared" si="43"/>
        <v/>
      </c>
      <c r="N323" s="144" t="str">
        <f t="shared" si="44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6">IFERROR(VLOOKUP(C324,$O$6:$P$16,2,FALSE),"")</f>
        <v/>
      </c>
      <c r="E324" s="154"/>
      <c r="F324" s="149" t="str">
        <f t="shared" si="45"/>
        <v/>
      </c>
      <c r="G324" s="201"/>
      <c r="H324" s="149" t="str">
        <f t="shared" ref="H324:H387" si="47">IFERROR(VLOOKUP(G324,$X$6:$Y$50,2,FALSE),"")</f>
        <v/>
      </c>
      <c r="I324" s="198"/>
      <c r="J324" s="198"/>
      <c r="K324" s="198"/>
      <c r="M324" s="144" t="str">
        <f t="shared" ref="M324:M387" si="48">LEFT(E324,3)</f>
        <v/>
      </c>
      <c r="N324" s="144" t="str">
        <f t="shared" ref="N324:N387" si="49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6"/>
        <v/>
      </c>
      <c r="E325" s="154"/>
      <c r="F325" s="149" t="str">
        <f t="shared" si="45"/>
        <v/>
      </c>
      <c r="G325" s="201"/>
      <c r="H325" s="149" t="str">
        <f t="shared" si="47"/>
        <v/>
      </c>
      <c r="I325" s="198"/>
      <c r="J325" s="198"/>
      <c r="K325" s="198"/>
      <c r="M325" s="144" t="str">
        <f t="shared" si="48"/>
        <v/>
      </c>
      <c r="N325" s="144" t="str">
        <f t="shared" si="49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6"/>
        <v/>
      </c>
      <c r="E326" s="154"/>
      <c r="F326" s="149" t="str">
        <f t="shared" si="45"/>
        <v/>
      </c>
      <c r="G326" s="201"/>
      <c r="H326" s="149" t="str">
        <f t="shared" si="47"/>
        <v/>
      </c>
      <c r="I326" s="198"/>
      <c r="J326" s="198"/>
      <c r="K326" s="198"/>
      <c r="M326" s="144" t="str">
        <f t="shared" si="48"/>
        <v/>
      </c>
      <c r="N326" s="144" t="str">
        <f t="shared" si="49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6"/>
        <v/>
      </c>
      <c r="E327" s="154"/>
      <c r="F327" s="149" t="str">
        <f t="shared" si="45"/>
        <v/>
      </c>
      <c r="G327" s="201"/>
      <c r="H327" s="149" t="str">
        <f t="shared" si="47"/>
        <v/>
      </c>
      <c r="I327" s="198"/>
      <c r="J327" s="198"/>
      <c r="K327" s="198"/>
      <c r="M327" s="144" t="str">
        <f t="shared" si="48"/>
        <v/>
      </c>
      <c r="N327" s="144" t="str">
        <f t="shared" si="49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6"/>
        <v/>
      </c>
      <c r="E328" s="154"/>
      <c r="F328" s="149" t="str">
        <f t="shared" si="45"/>
        <v/>
      </c>
      <c r="G328" s="201"/>
      <c r="H328" s="149" t="str">
        <f t="shared" si="47"/>
        <v/>
      </c>
      <c r="I328" s="198"/>
      <c r="J328" s="198"/>
      <c r="K328" s="198"/>
      <c r="M328" s="144" t="str">
        <f t="shared" si="48"/>
        <v/>
      </c>
      <c r="N328" s="144" t="str">
        <f t="shared" si="49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6"/>
        <v/>
      </c>
      <c r="E329" s="154"/>
      <c r="F329" s="149" t="str">
        <f t="shared" si="45"/>
        <v/>
      </c>
      <c r="G329" s="201"/>
      <c r="H329" s="149" t="str">
        <f t="shared" si="47"/>
        <v/>
      </c>
      <c r="I329" s="198"/>
      <c r="J329" s="198"/>
      <c r="K329" s="198"/>
      <c r="M329" s="144" t="str">
        <f t="shared" si="48"/>
        <v/>
      </c>
      <c r="N329" s="144" t="str">
        <f t="shared" si="49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6"/>
        <v/>
      </c>
      <c r="E330" s="154"/>
      <c r="F330" s="149" t="str">
        <f t="shared" si="45"/>
        <v/>
      </c>
      <c r="G330" s="201"/>
      <c r="H330" s="149" t="str">
        <f t="shared" si="47"/>
        <v/>
      </c>
      <c r="I330" s="198"/>
      <c r="J330" s="198"/>
      <c r="K330" s="198"/>
      <c r="M330" s="144" t="str">
        <f t="shared" si="48"/>
        <v/>
      </c>
      <c r="N330" s="144" t="str">
        <f t="shared" si="49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6"/>
        <v/>
      </c>
      <c r="E331" s="154"/>
      <c r="F331" s="149" t="str">
        <f t="shared" si="45"/>
        <v/>
      </c>
      <c r="G331" s="201"/>
      <c r="H331" s="149" t="str">
        <f t="shared" si="47"/>
        <v/>
      </c>
      <c r="I331" s="198"/>
      <c r="J331" s="198"/>
      <c r="K331" s="198"/>
      <c r="M331" s="144" t="str">
        <f t="shared" si="48"/>
        <v/>
      </c>
      <c r="N331" s="144" t="str">
        <f t="shared" si="49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6"/>
        <v/>
      </c>
      <c r="E332" s="154"/>
      <c r="F332" s="149" t="str">
        <f t="shared" si="45"/>
        <v/>
      </c>
      <c r="G332" s="201"/>
      <c r="H332" s="149" t="str">
        <f t="shared" si="47"/>
        <v/>
      </c>
      <c r="I332" s="198"/>
      <c r="J332" s="198"/>
      <c r="K332" s="198"/>
      <c r="M332" s="144" t="str">
        <f t="shared" si="48"/>
        <v/>
      </c>
      <c r="N332" s="144" t="str">
        <f t="shared" si="49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6"/>
        <v/>
      </c>
      <c r="E333" s="154"/>
      <c r="F333" s="149" t="str">
        <f t="shared" si="45"/>
        <v/>
      </c>
      <c r="G333" s="201"/>
      <c r="H333" s="149" t="str">
        <f t="shared" si="47"/>
        <v/>
      </c>
      <c r="I333" s="198"/>
      <c r="J333" s="198"/>
      <c r="K333" s="198"/>
      <c r="M333" s="144" t="str">
        <f t="shared" si="48"/>
        <v/>
      </c>
      <c r="N333" s="144" t="str">
        <f t="shared" si="49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6"/>
        <v/>
      </c>
      <c r="E334" s="154"/>
      <c r="F334" s="149" t="str">
        <f t="shared" si="45"/>
        <v/>
      </c>
      <c r="G334" s="201"/>
      <c r="H334" s="149" t="str">
        <f t="shared" si="47"/>
        <v/>
      </c>
      <c r="I334" s="198"/>
      <c r="J334" s="198"/>
      <c r="K334" s="198"/>
      <c r="M334" s="144" t="str">
        <f t="shared" si="48"/>
        <v/>
      </c>
      <c r="N334" s="144" t="str">
        <f t="shared" si="49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6"/>
        <v/>
      </c>
      <c r="E335" s="154"/>
      <c r="F335" s="149" t="str">
        <f t="shared" si="45"/>
        <v/>
      </c>
      <c r="G335" s="201"/>
      <c r="H335" s="149" t="str">
        <f t="shared" si="47"/>
        <v/>
      </c>
      <c r="I335" s="198"/>
      <c r="J335" s="198"/>
      <c r="K335" s="198"/>
      <c r="M335" s="144" t="str">
        <f t="shared" si="48"/>
        <v/>
      </c>
      <c r="N335" s="144" t="str">
        <f t="shared" si="49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6"/>
        <v/>
      </c>
      <c r="E336" s="154"/>
      <c r="F336" s="149" t="str">
        <f t="shared" si="45"/>
        <v/>
      </c>
      <c r="G336" s="201"/>
      <c r="H336" s="149" t="str">
        <f t="shared" si="47"/>
        <v/>
      </c>
      <c r="I336" s="198"/>
      <c r="J336" s="198"/>
      <c r="K336" s="198"/>
      <c r="M336" s="144" t="str">
        <f t="shared" si="48"/>
        <v/>
      </c>
      <c r="N336" s="144" t="str">
        <f t="shared" si="49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6"/>
        <v/>
      </c>
      <c r="E337" s="154"/>
      <c r="F337" s="149" t="str">
        <f t="shared" si="45"/>
        <v/>
      </c>
      <c r="G337" s="201"/>
      <c r="H337" s="149" t="str">
        <f t="shared" si="47"/>
        <v/>
      </c>
      <c r="I337" s="198"/>
      <c r="J337" s="198"/>
      <c r="K337" s="198"/>
      <c r="M337" s="144" t="str">
        <f t="shared" si="48"/>
        <v/>
      </c>
      <c r="N337" s="144" t="str">
        <f t="shared" si="49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6"/>
        <v/>
      </c>
      <c r="E338" s="154"/>
      <c r="F338" s="149" t="str">
        <f t="shared" si="45"/>
        <v/>
      </c>
      <c r="G338" s="201"/>
      <c r="H338" s="149" t="str">
        <f t="shared" si="47"/>
        <v/>
      </c>
      <c r="I338" s="198"/>
      <c r="J338" s="198"/>
      <c r="K338" s="198"/>
      <c r="M338" s="144" t="str">
        <f t="shared" si="48"/>
        <v/>
      </c>
      <c r="N338" s="144" t="str">
        <f t="shared" si="49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6"/>
        <v/>
      </c>
      <c r="E339" s="154"/>
      <c r="F339" s="149" t="str">
        <f t="shared" si="45"/>
        <v/>
      </c>
      <c r="G339" s="201"/>
      <c r="H339" s="149" t="str">
        <f t="shared" si="47"/>
        <v/>
      </c>
      <c r="I339" s="198"/>
      <c r="J339" s="198"/>
      <c r="K339" s="198"/>
      <c r="M339" s="144" t="str">
        <f t="shared" si="48"/>
        <v/>
      </c>
      <c r="N339" s="144" t="str">
        <f t="shared" si="49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6"/>
        <v/>
      </c>
      <c r="E340" s="154"/>
      <c r="F340" s="149" t="str">
        <f t="shared" si="45"/>
        <v/>
      </c>
      <c r="G340" s="201"/>
      <c r="H340" s="149" t="str">
        <f t="shared" si="47"/>
        <v/>
      </c>
      <c r="I340" s="198"/>
      <c r="J340" s="198"/>
      <c r="K340" s="198"/>
      <c r="M340" s="144" t="str">
        <f t="shared" si="48"/>
        <v/>
      </c>
      <c r="N340" s="144" t="str">
        <f t="shared" si="49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6"/>
        <v/>
      </c>
      <c r="E341" s="154"/>
      <c r="F341" s="149" t="str">
        <f t="shared" si="45"/>
        <v/>
      </c>
      <c r="G341" s="201"/>
      <c r="H341" s="149" t="str">
        <f t="shared" si="47"/>
        <v/>
      </c>
      <c r="I341" s="198"/>
      <c r="J341" s="198"/>
      <c r="K341" s="198"/>
      <c r="M341" s="144" t="str">
        <f t="shared" si="48"/>
        <v/>
      </c>
      <c r="N341" s="144" t="str">
        <f t="shared" si="49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6"/>
        <v/>
      </c>
      <c r="E342" s="154"/>
      <c r="F342" s="149" t="str">
        <f t="shared" si="45"/>
        <v/>
      </c>
      <c r="G342" s="201"/>
      <c r="H342" s="149" t="str">
        <f t="shared" si="47"/>
        <v/>
      </c>
      <c r="I342" s="198"/>
      <c r="J342" s="198"/>
      <c r="K342" s="198"/>
      <c r="M342" s="144" t="str">
        <f t="shared" si="48"/>
        <v/>
      </c>
      <c r="N342" s="144" t="str">
        <f t="shared" si="49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6"/>
        <v/>
      </c>
      <c r="E343" s="154"/>
      <c r="F343" s="149" t="str">
        <f t="shared" si="45"/>
        <v/>
      </c>
      <c r="G343" s="201"/>
      <c r="H343" s="149" t="str">
        <f t="shared" si="47"/>
        <v/>
      </c>
      <c r="I343" s="198"/>
      <c r="J343" s="198"/>
      <c r="K343" s="198"/>
      <c r="M343" s="144" t="str">
        <f t="shared" si="48"/>
        <v/>
      </c>
      <c r="N343" s="144" t="str">
        <f t="shared" si="49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6"/>
        <v/>
      </c>
      <c r="E344" s="154"/>
      <c r="F344" s="149" t="str">
        <f t="shared" si="45"/>
        <v/>
      </c>
      <c r="G344" s="201"/>
      <c r="H344" s="149" t="str">
        <f t="shared" si="47"/>
        <v/>
      </c>
      <c r="I344" s="198"/>
      <c r="J344" s="198"/>
      <c r="K344" s="198"/>
      <c r="M344" s="144" t="str">
        <f t="shared" si="48"/>
        <v/>
      </c>
      <c r="N344" s="144" t="str">
        <f t="shared" si="49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6"/>
        <v/>
      </c>
      <c r="E345" s="154"/>
      <c r="F345" s="149" t="str">
        <f t="shared" si="45"/>
        <v/>
      </c>
      <c r="G345" s="201"/>
      <c r="H345" s="149" t="str">
        <f t="shared" si="47"/>
        <v/>
      </c>
      <c r="I345" s="198"/>
      <c r="J345" s="198"/>
      <c r="K345" s="198"/>
      <c r="M345" s="144" t="str">
        <f t="shared" si="48"/>
        <v/>
      </c>
      <c r="N345" s="144" t="str">
        <f t="shared" si="49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6"/>
        <v/>
      </c>
      <c r="E346" s="154"/>
      <c r="F346" s="149" t="str">
        <f t="shared" si="45"/>
        <v/>
      </c>
      <c r="G346" s="201"/>
      <c r="H346" s="149" t="str">
        <f t="shared" si="47"/>
        <v/>
      </c>
      <c r="I346" s="198"/>
      <c r="J346" s="198"/>
      <c r="K346" s="198"/>
      <c r="M346" s="144" t="str">
        <f t="shared" si="48"/>
        <v/>
      </c>
      <c r="N346" s="144" t="str">
        <f t="shared" si="49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6"/>
        <v/>
      </c>
      <c r="E347" s="154"/>
      <c r="F347" s="149" t="str">
        <f t="shared" si="45"/>
        <v/>
      </c>
      <c r="G347" s="201"/>
      <c r="H347" s="149" t="str">
        <f t="shared" si="47"/>
        <v/>
      </c>
      <c r="I347" s="198"/>
      <c r="J347" s="198"/>
      <c r="K347" s="198"/>
      <c r="M347" s="144" t="str">
        <f t="shared" si="48"/>
        <v/>
      </c>
      <c r="N347" s="144" t="str">
        <f t="shared" si="49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6"/>
        <v/>
      </c>
      <c r="E348" s="154"/>
      <c r="F348" s="149" t="str">
        <f t="shared" si="45"/>
        <v/>
      </c>
      <c r="G348" s="201"/>
      <c r="H348" s="149" t="str">
        <f t="shared" si="47"/>
        <v/>
      </c>
      <c r="I348" s="198"/>
      <c r="J348" s="198"/>
      <c r="K348" s="198"/>
      <c r="M348" s="144" t="str">
        <f t="shared" si="48"/>
        <v/>
      </c>
      <c r="N348" s="144" t="str">
        <f t="shared" si="49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6"/>
        <v/>
      </c>
      <c r="E349" s="154"/>
      <c r="F349" s="149" t="str">
        <f t="shared" si="45"/>
        <v/>
      </c>
      <c r="G349" s="201"/>
      <c r="H349" s="149" t="str">
        <f t="shared" si="47"/>
        <v/>
      </c>
      <c r="I349" s="198"/>
      <c r="J349" s="198"/>
      <c r="K349" s="198"/>
      <c r="M349" s="144" t="str">
        <f t="shared" si="48"/>
        <v/>
      </c>
      <c r="N349" s="144" t="str">
        <f t="shared" si="49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6"/>
        <v/>
      </c>
      <c r="E350" s="154"/>
      <c r="F350" s="149" t="str">
        <f t="shared" si="45"/>
        <v/>
      </c>
      <c r="G350" s="201"/>
      <c r="H350" s="149" t="str">
        <f t="shared" si="47"/>
        <v/>
      </c>
      <c r="I350" s="198"/>
      <c r="J350" s="198"/>
      <c r="K350" s="198"/>
      <c r="M350" s="144" t="str">
        <f t="shared" si="48"/>
        <v/>
      </c>
      <c r="N350" s="144" t="str">
        <f t="shared" si="49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6"/>
        <v/>
      </c>
      <c r="E351" s="154"/>
      <c r="F351" s="149" t="str">
        <f t="shared" si="45"/>
        <v/>
      </c>
      <c r="G351" s="201"/>
      <c r="H351" s="149" t="str">
        <f t="shared" si="47"/>
        <v/>
      </c>
      <c r="I351" s="198"/>
      <c r="J351" s="198"/>
      <c r="K351" s="198"/>
      <c r="M351" s="144" t="str">
        <f t="shared" si="48"/>
        <v/>
      </c>
      <c r="N351" s="144" t="str">
        <f t="shared" si="49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6"/>
        <v/>
      </c>
      <c r="E352" s="154"/>
      <c r="F352" s="149" t="str">
        <f t="shared" si="45"/>
        <v/>
      </c>
      <c r="G352" s="201"/>
      <c r="H352" s="149" t="str">
        <f t="shared" si="47"/>
        <v/>
      </c>
      <c r="I352" s="198"/>
      <c r="J352" s="198"/>
      <c r="K352" s="198"/>
      <c r="M352" s="144" t="str">
        <f t="shared" si="48"/>
        <v/>
      </c>
      <c r="N352" s="144" t="str">
        <f t="shared" si="49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6"/>
        <v/>
      </c>
      <c r="E353" s="154"/>
      <c r="F353" s="149" t="str">
        <f t="shared" si="45"/>
        <v/>
      </c>
      <c r="G353" s="201"/>
      <c r="H353" s="149" t="str">
        <f t="shared" si="47"/>
        <v/>
      </c>
      <c r="I353" s="198"/>
      <c r="J353" s="198"/>
      <c r="K353" s="198"/>
      <c r="M353" s="144" t="str">
        <f t="shared" si="48"/>
        <v/>
      </c>
      <c r="N353" s="144" t="str">
        <f t="shared" si="49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6"/>
        <v/>
      </c>
      <c r="E354" s="154"/>
      <c r="F354" s="149" t="str">
        <f t="shared" si="45"/>
        <v/>
      </c>
      <c r="G354" s="201"/>
      <c r="H354" s="149" t="str">
        <f t="shared" si="47"/>
        <v/>
      </c>
      <c r="I354" s="198"/>
      <c r="J354" s="198"/>
      <c r="K354" s="198"/>
      <c r="M354" s="144" t="str">
        <f t="shared" si="48"/>
        <v/>
      </c>
      <c r="N354" s="144" t="str">
        <f t="shared" si="49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6"/>
        <v/>
      </c>
      <c r="E355" s="154"/>
      <c r="F355" s="149" t="str">
        <f t="shared" si="45"/>
        <v/>
      </c>
      <c r="G355" s="201"/>
      <c r="H355" s="149" t="str">
        <f t="shared" si="47"/>
        <v/>
      </c>
      <c r="I355" s="198"/>
      <c r="J355" s="198"/>
      <c r="K355" s="198"/>
      <c r="M355" s="144" t="str">
        <f t="shared" si="48"/>
        <v/>
      </c>
      <c r="N355" s="144" t="str">
        <f t="shared" si="49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6"/>
        <v/>
      </c>
      <c r="E356" s="154"/>
      <c r="F356" s="149" t="str">
        <f t="shared" si="45"/>
        <v/>
      </c>
      <c r="G356" s="201"/>
      <c r="H356" s="149" t="str">
        <f t="shared" si="47"/>
        <v/>
      </c>
      <c r="I356" s="198"/>
      <c r="J356" s="198"/>
      <c r="K356" s="198"/>
      <c r="M356" s="144" t="str">
        <f t="shared" si="48"/>
        <v/>
      </c>
      <c r="N356" s="144" t="str">
        <f t="shared" si="49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6"/>
        <v/>
      </c>
      <c r="E357" s="154"/>
      <c r="F357" s="149" t="str">
        <f t="shared" si="45"/>
        <v/>
      </c>
      <c r="G357" s="201"/>
      <c r="H357" s="149" t="str">
        <f t="shared" si="47"/>
        <v/>
      </c>
      <c r="I357" s="198"/>
      <c r="J357" s="198"/>
      <c r="K357" s="198"/>
      <c r="M357" s="144" t="str">
        <f t="shared" si="48"/>
        <v/>
      </c>
      <c r="N357" s="144" t="str">
        <f t="shared" si="49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6"/>
        <v/>
      </c>
      <c r="E358" s="154"/>
      <c r="F358" s="149" t="str">
        <f t="shared" si="45"/>
        <v/>
      </c>
      <c r="G358" s="201"/>
      <c r="H358" s="149" t="str">
        <f t="shared" si="47"/>
        <v/>
      </c>
      <c r="I358" s="198"/>
      <c r="J358" s="198"/>
      <c r="K358" s="198"/>
      <c r="M358" s="144" t="str">
        <f t="shared" si="48"/>
        <v/>
      </c>
      <c r="N358" s="144" t="str">
        <f t="shared" si="49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6"/>
        <v/>
      </c>
      <c r="E359" s="154"/>
      <c r="F359" s="149" t="str">
        <f t="shared" si="45"/>
        <v/>
      </c>
      <c r="G359" s="201"/>
      <c r="H359" s="149" t="str">
        <f t="shared" si="47"/>
        <v/>
      </c>
      <c r="I359" s="198"/>
      <c r="J359" s="198"/>
      <c r="K359" s="198"/>
      <c r="M359" s="144" t="str">
        <f t="shared" si="48"/>
        <v/>
      </c>
      <c r="N359" s="144" t="str">
        <f t="shared" si="49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6"/>
        <v/>
      </c>
      <c r="E360" s="154"/>
      <c r="F360" s="149" t="str">
        <f t="shared" si="45"/>
        <v/>
      </c>
      <c r="G360" s="201"/>
      <c r="H360" s="149" t="str">
        <f t="shared" si="47"/>
        <v/>
      </c>
      <c r="I360" s="198"/>
      <c r="J360" s="198"/>
      <c r="K360" s="198"/>
      <c r="M360" s="144" t="str">
        <f t="shared" si="48"/>
        <v/>
      </c>
      <c r="N360" s="144" t="str">
        <f t="shared" si="49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6"/>
        <v/>
      </c>
      <c r="E361" s="154"/>
      <c r="F361" s="149" t="str">
        <f t="shared" si="45"/>
        <v/>
      </c>
      <c r="G361" s="201"/>
      <c r="H361" s="149" t="str">
        <f t="shared" si="47"/>
        <v/>
      </c>
      <c r="I361" s="198"/>
      <c r="J361" s="198"/>
      <c r="K361" s="198"/>
      <c r="M361" s="144" t="str">
        <f t="shared" si="48"/>
        <v/>
      </c>
      <c r="N361" s="144" t="str">
        <f t="shared" si="49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6"/>
        <v/>
      </c>
      <c r="E362" s="154"/>
      <c r="F362" s="149" t="str">
        <f t="shared" si="45"/>
        <v/>
      </c>
      <c r="G362" s="201"/>
      <c r="H362" s="149" t="str">
        <f t="shared" si="47"/>
        <v/>
      </c>
      <c r="I362" s="198"/>
      <c r="J362" s="198"/>
      <c r="K362" s="198"/>
      <c r="M362" s="144" t="str">
        <f t="shared" si="48"/>
        <v/>
      </c>
      <c r="N362" s="144" t="str">
        <f t="shared" si="49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6"/>
        <v/>
      </c>
      <c r="E363" s="154"/>
      <c r="F363" s="149" t="str">
        <f t="shared" si="45"/>
        <v/>
      </c>
      <c r="G363" s="201"/>
      <c r="H363" s="149" t="str">
        <f t="shared" si="47"/>
        <v/>
      </c>
      <c r="I363" s="198"/>
      <c r="J363" s="198"/>
      <c r="K363" s="198"/>
      <c r="M363" s="144" t="str">
        <f t="shared" si="48"/>
        <v/>
      </c>
      <c r="N363" s="144" t="str">
        <f t="shared" si="49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6"/>
        <v/>
      </c>
      <c r="E364" s="154"/>
      <c r="F364" s="149" t="str">
        <f t="shared" si="45"/>
        <v/>
      </c>
      <c r="G364" s="201"/>
      <c r="H364" s="149" t="str">
        <f t="shared" si="47"/>
        <v/>
      </c>
      <c r="I364" s="198"/>
      <c r="J364" s="198"/>
      <c r="K364" s="198"/>
      <c r="M364" s="144" t="str">
        <f t="shared" si="48"/>
        <v/>
      </c>
      <c r="N364" s="144" t="str">
        <f t="shared" si="49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6"/>
        <v/>
      </c>
      <c r="E365" s="154"/>
      <c r="F365" s="149" t="str">
        <f t="shared" si="45"/>
        <v/>
      </c>
      <c r="G365" s="201"/>
      <c r="H365" s="149" t="str">
        <f t="shared" si="47"/>
        <v/>
      </c>
      <c r="I365" s="198"/>
      <c r="J365" s="198"/>
      <c r="K365" s="198"/>
      <c r="M365" s="144" t="str">
        <f t="shared" si="48"/>
        <v/>
      </c>
      <c r="N365" s="144" t="str">
        <f t="shared" si="49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6"/>
        <v/>
      </c>
      <c r="E366" s="154"/>
      <c r="F366" s="149" t="str">
        <f t="shared" si="45"/>
        <v/>
      </c>
      <c r="G366" s="201"/>
      <c r="H366" s="149" t="str">
        <f t="shared" si="47"/>
        <v/>
      </c>
      <c r="I366" s="198"/>
      <c r="J366" s="198"/>
      <c r="K366" s="198"/>
      <c r="M366" s="144" t="str">
        <f t="shared" si="48"/>
        <v/>
      </c>
      <c r="N366" s="144" t="str">
        <f t="shared" si="49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6"/>
        <v/>
      </c>
      <c r="E367" s="154"/>
      <c r="F367" s="149" t="str">
        <f t="shared" si="45"/>
        <v/>
      </c>
      <c r="G367" s="201"/>
      <c r="H367" s="149" t="str">
        <f t="shared" si="47"/>
        <v/>
      </c>
      <c r="I367" s="198"/>
      <c r="J367" s="198"/>
      <c r="K367" s="198"/>
      <c r="M367" s="144" t="str">
        <f t="shared" si="48"/>
        <v/>
      </c>
      <c r="N367" s="144" t="str">
        <f t="shared" si="49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6"/>
        <v/>
      </c>
      <c r="E368" s="154"/>
      <c r="F368" s="149" t="str">
        <f t="shared" si="45"/>
        <v/>
      </c>
      <c r="G368" s="201"/>
      <c r="H368" s="149" t="str">
        <f t="shared" si="47"/>
        <v/>
      </c>
      <c r="I368" s="198"/>
      <c r="J368" s="198"/>
      <c r="K368" s="198"/>
      <c r="M368" s="144" t="str">
        <f t="shared" si="48"/>
        <v/>
      </c>
      <c r="N368" s="144" t="str">
        <f t="shared" si="49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6"/>
        <v/>
      </c>
      <c r="E369" s="154"/>
      <c r="F369" s="149" t="str">
        <f t="shared" si="45"/>
        <v/>
      </c>
      <c r="G369" s="201"/>
      <c r="H369" s="149" t="str">
        <f t="shared" si="47"/>
        <v/>
      </c>
      <c r="I369" s="198"/>
      <c r="J369" s="198"/>
      <c r="K369" s="198"/>
      <c r="M369" s="144" t="str">
        <f t="shared" si="48"/>
        <v/>
      </c>
      <c r="N369" s="144" t="str">
        <f t="shared" si="49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6"/>
        <v/>
      </c>
      <c r="E370" s="154"/>
      <c r="F370" s="149" t="str">
        <f t="shared" si="45"/>
        <v/>
      </c>
      <c r="G370" s="201"/>
      <c r="H370" s="149" t="str">
        <f t="shared" si="47"/>
        <v/>
      </c>
      <c r="I370" s="198"/>
      <c r="J370" s="198"/>
      <c r="K370" s="198"/>
      <c r="M370" s="144" t="str">
        <f t="shared" si="48"/>
        <v/>
      </c>
      <c r="N370" s="144" t="str">
        <f t="shared" si="49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6"/>
        <v/>
      </c>
      <c r="E371" s="154"/>
      <c r="F371" s="149" t="str">
        <f t="shared" si="45"/>
        <v/>
      </c>
      <c r="G371" s="201"/>
      <c r="H371" s="149" t="str">
        <f t="shared" si="47"/>
        <v/>
      </c>
      <c r="I371" s="198"/>
      <c r="J371" s="198"/>
      <c r="K371" s="198"/>
      <c r="M371" s="144" t="str">
        <f t="shared" si="48"/>
        <v/>
      </c>
      <c r="N371" s="144" t="str">
        <f t="shared" si="49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6"/>
        <v/>
      </c>
      <c r="E372" s="154"/>
      <c r="F372" s="149" t="str">
        <f t="shared" si="45"/>
        <v/>
      </c>
      <c r="G372" s="201"/>
      <c r="H372" s="149" t="str">
        <f t="shared" si="47"/>
        <v/>
      </c>
      <c r="I372" s="198"/>
      <c r="J372" s="198"/>
      <c r="K372" s="198"/>
      <c r="M372" s="144" t="str">
        <f t="shared" si="48"/>
        <v/>
      </c>
      <c r="N372" s="144" t="str">
        <f t="shared" si="49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6"/>
        <v/>
      </c>
      <c r="E373" s="154"/>
      <c r="F373" s="149" t="str">
        <f t="shared" si="45"/>
        <v/>
      </c>
      <c r="G373" s="201"/>
      <c r="H373" s="149" t="str">
        <f t="shared" si="47"/>
        <v/>
      </c>
      <c r="I373" s="198"/>
      <c r="J373" s="198"/>
      <c r="K373" s="198"/>
      <c r="M373" s="144" t="str">
        <f t="shared" si="48"/>
        <v/>
      </c>
      <c r="N373" s="144" t="str">
        <f t="shared" si="49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6"/>
        <v/>
      </c>
      <c r="E374" s="154"/>
      <c r="F374" s="149" t="str">
        <f t="shared" si="45"/>
        <v/>
      </c>
      <c r="G374" s="201"/>
      <c r="H374" s="149" t="str">
        <f t="shared" si="47"/>
        <v/>
      </c>
      <c r="I374" s="198"/>
      <c r="J374" s="198"/>
      <c r="K374" s="198"/>
      <c r="M374" s="144" t="str">
        <f t="shared" si="48"/>
        <v/>
      </c>
      <c r="N374" s="144" t="str">
        <f t="shared" si="49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6"/>
        <v/>
      </c>
      <c r="E375" s="154"/>
      <c r="F375" s="149" t="str">
        <f t="shared" si="45"/>
        <v/>
      </c>
      <c r="G375" s="201"/>
      <c r="H375" s="149" t="str">
        <f t="shared" si="47"/>
        <v/>
      </c>
      <c r="I375" s="198"/>
      <c r="J375" s="198"/>
      <c r="K375" s="198"/>
      <c r="M375" s="144" t="str">
        <f t="shared" si="48"/>
        <v/>
      </c>
      <c r="N375" s="144" t="str">
        <f t="shared" si="49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6"/>
        <v/>
      </c>
      <c r="E376" s="154"/>
      <c r="F376" s="149" t="str">
        <f t="shared" si="45"/>
        <v/>
      </c>
      <c r="G376" s="201"/>
      <c r="H376" s="149" t="str">
        <f t="shared" si="47"/>
        <v/>
      </c>
      <c r="I376" s="198"/>
      <c r="J376" s="198"/>
      <c r="K376" s="198"/>
      <c r="M376" s="144" t="str">
        <f t="shared" si="48"/>
        <v/>
      </c>
      <c r="N376" s="144" t="str">
        <f t="shared" si="49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6"/>
        <v/>
      </c>
      <c r="E377" s="154"/>
      <c r="F377" s="149" t="str">
        <f t="shared" si="45"/>
        <v/>
      </c>
      <c r="G377" s="201"/>
      <c r="H377" s="149" t="str">
        <f t="shared" si="47"/>
        <v/>
      </c>
      <c r="I377" s="198"/>
      <c r="J377" s="198"/>
      <c r="K377" s="198"/>
      <c r="M377" s="144" t="str">
        <f t="shared" si="48"/>
        <v/>
      </c>
      <c r="N377" s="144" t="str">
        <f t="shared" si="49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6"/>
        <v/>
      </c>
      <c r="E378" s="154"/>
      <c r="F378" s="149" t="str">
        <f t="shared" si="45"/>
        <v/>
      </c>
      <c r="G378" s="201"/>
      <c r="H378" s="149" t="str">
        <f t="shared" si="47"/>
        <v/>
      </c>
      <c r="I378" s="198"/>
      <c r="J378" s="198"/>
      <c r="K378" s="198"/>
      <c r="M378" s="144" t="str">
        <f t="shared" si="48"/>
        <v/>
      </c>
      <c r="N378" s="144" t="str">
        <f t="shared" si="49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6"/>
        <v/>
      </c>
      <c r="E379" s="154"/>
      <c r="F379" s="149" t="str">
        <f t="shared" si="45"/>
        <v/>
      </c>
      <c r="G379" s="201"/>
      <c r="H379" s="149" t="str">
        <f t="shared" si="47"/>
        <v/>
      </c>
      <c r="I379" s="198"/>
      <c r="J379" s="198"/>
      <c r="K379" s="198"/>
      <c r="M379" s="144" t="str">
        <f t="shared" si="48"/>
        <v/>
      </c>
      <c r="N379" s="144" t="str">
        <f t="shared" si="49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6"/>
        <v/>
      </c>
      <c r="E380" s="154"/>
      <c r="F380" s="149" t="str">
        <f t="shared" si="45"/>
        <v/>
      </c>
      <c r="G380" s="201"/>
      <c r="H380" s="149" t="str">
        <f t="shared" si="47"/>
        <v/>
      </c>
      <c r="I380" s="198"/>
      <c r="J380" s="198"/>
      <c r="K380" s="198"/>
      <c r="M380" s="144" t="str">
        <f t="shared" si="48"/>
        <v/>
      </c>
      <c r="N380" s="144" t="str">
        <f t="shared" si="49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6"/>
        <v/>
      </c>
      <c r="E381" s="154"/>
      <c r="F381" s="149" t="str">
        <f t="shared" si="45"/>
        <v/>
      </c>
      <c r="G381" s="201"/>
      <c r="H381" s="149" t="str">
        <f t="shared" si="47"/>
        <v/>
      </c>
      <c r="I381" s="198"/>
      <c r="J381" s="198"/>
      <c r="K381" s="198"/>
      <c r="M381" s="144" t="str">
        <f t="shared" si="48"/>
        <v/>
      </c>
      <c r="N381" s="144" t="str">
        <f t="shared" si="49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6"/>
        <v/>
      </c>
      <c r="E382" s="154"/>
      <c r="F382" s="149" t="str">
        <f t="shared" si="45"/>
        <v/>
      </c>
      <c r="G382" s="201"/>
      <c r="H382" s="149" t="str">
        <f t="shared" si="47"/>
        <v/>
      </c>
      <c r="I382" s="198"/>
      <c r="J382" s="198"/>
      <c r="K382" s="198"/>
      <c r="M382" s="144" t="str">
        <f t="shared" si="48"/>
        <v/>
      </c>
      <c r="N382" s="144" t="str">
        <f t="shared" si="49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6"/>
        <v/>
      </c>
      <c r="E383" s="154"/>
      <c r="F383" s="149" t="str">
        <f t="shared" si="45"/>
        <v/>
      </c>
      <c r="G383" s="201"/>
      <c r="H383" s="149" t="str">
        <f t="shared" si="47"/>
        <v/>
      </c>
      <c r="I383" s="198"/>
      <c r="J383" s="198"/>
      <c r="K383" s="198"/>
      <c r="M383" s="144" t="str">
        <f t="shared" si="48"/>
        <v/>
      </c>
      <c r="N383" s="144" t="str">
        <f t="shared" si="49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6"/>
        <v/>
      </c>
      <c r="E384" s="154"/>
      <c r="F384" s="149" t="str">
        <f t="shared" si="45"/>
        <v/>
      </c>
      <c r="G384" s="201"/>
      <c r="H384" s="149" t="str">
        <f t="shared" si="47"/>
        <v/>
      </c>
      <c r="I384" s="198"/>
      <c r="J384" s="198"/>
      <c r="K384" s="198"/>
      <c r="M384" s="144" t="str">
        <f t="shared" si="48"/>
        <v/>
      </c>
      <c r="N384" s="144" t="str">
        <f t="shared" si="49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6"/>
        <v/>
      </c>
      <c r="E385" s="154"/>
      <c r="F385" s="149" t="str">
        <f t="shared" si="45"/>
        <v/>
      </c>
      <c r="G385" s="201"/>
      <c r="H385" s="149" t="str">
        <f t="shared" si="47"/>
        <v/>
      </c>
      <c r="I385" s="198"/>
      <c r="J385" s="198"/>
      <c r="K385" s="198"/>
      <c r="M385" s="144" t="str">
        <f t="shared" si="48"/>
        <v/>
      </c>
      <c r="N385" s="144" t="str">
        <f t="shared" si="49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6"/>
        <v/>
      </c>
      <c r="E386" s="154"/>
      <c r="F386" s="149" t="str">
        <f t="shared" si="45"/>
        <v/>
      </c>
      <c r="G386" s="201"/>
      <c r="H386" s="149" t="str">
        <f t="shared" si="47"/>
        <v/>
      </c>
      <c r="I386" s="198"/>
      <c r="J386" s="198"/>
      <c r="K386" s="198"/>
      <c r="M386" s="144" t="str">
        <f t="shared" si="48"/>
        <v/>
      </c>
      <c r="N386" s="144" t="str">
        <f t="shared" si="49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6"/>
        <v/>
      </c>
      <c r="E387" s="154"/>
      <c r="F387" s="149" t="str">
        <f t="shared" ref="F387:F450" si="50">IFERROR(VLOOKUP(E387,$R$5:$T$129,2,FALSE),"")</f>
        <v/>
      </c>
      <c r="G387" s="201"/>
      <c r="H387" s="149" t="str">
        <f t="shared" si="47"/>
        <v/>
      </c>
      <c r="I387" s="198"/>
      <c r="J387" s="198"/>
      <c r="K387" s="198"/>
      <c r="M387" s="144" t="str">
        <f t="shared" si="48"/>
        <v/>
      </c>
      <c r="N387" s="144" t="str">
        <f t="shared" si="49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51">IFERROR(VLOOKUP(C388,$O$6:$P$16,2,FALSE),"")</f>
        <v/>
      </c>
      <c r="E388" s="154"/>
      <c r="F388" s="149" t="str">
        <f t="shared" si="50"/>
        <v/>
      </c>
      <c r="G388" s="201"/>
      <c r="H388" s="149" t="str">
        <f t="shared" ref="H388:H451" si="52">IFERROR(VLOOKUP(G388,$X$6:$Y$50,2,FALSE),"")</f>
        <v/>
      </c>
      <c r="I388" s="198"/>
      <c r="J388" s="198"/>
      <c r="K388" s="198"/>
      <c r="M388" s="144" t="str">
        <f t="shared" ref="M388:M451" si="53">LEFT(E388,3)</f>
        <v/>
      </c>
      <c r="N388" s="144" t="str">
        <f t="shared" ref="N388:N451" si="54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51"/>
        <v/>
      </c>
      <c r="E389" s="154"/>
      <c r="F389" s="149" t="str">
        <f t="shared" si="50"/>
        <v/>
      </c>
      <c r="G389" s="201"/>
      <c r="H389" s="149" t="str">
        <f t="shared" si="52"/>
        <v/>
      </c>
      <c r="I389" s="198"/>
      <c r="J389" s="198"/>
      <c r="K389" s="198"/>
      <c r="M389" s="144" t="str">
        <f t="shared" si="53"/>
        <v/>
      </c>
      <c r="N389" s="144" t="str">
        <f t="shared" si="54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51"/>
        <v/>
      </c>
      <c r="E390" s="154"/>
      <c r="F390" s="149" t="str">
        <f t="shared" si="50"/>
        <v/>
      </c>
      <c r="G390" s="201"/>
      <c r="H390" s="149" t="str">
        <f t="shared" si="52"/>
        <v/>
      </c>
      <c r="I390" s="198"/>
      <c r="J390" s="198"/>
      <c r="K390" s="198"/>
      <c r="M390" s="144" t="str">
        <f t="shared" si="53"/>
        <v/>
      </c>
      <c r="N390" s="144" t="str">
        <f t="shared" si="54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51"/>
        <v/>
      </c>
      <c r="E391" s="154"/>
      <c r="F391" s="149" t="str">
        <f t="shared" si="50"/>
        <v/>
      </c>
      <c r="G391" s="201"/>
      <c r="H391" s="149" t="str">
        <f t="shared" si="52"/>
        <v/>
      </c>
      <c r="I391" s="198"/>
      <c r="J391" s="198"/>
      <c r="K391" s="198"/>
      <c r="M391" s="144" t="str">
        <f t="shared" si="53"/>
        <v/>
      </c>
      <c r="N391" s="144" t="str">
        <f t="shared" si="54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51"/>
        <v/>
      </c>
      <c r="E392" s="154"/>
      <c r="F392" s="149" t="str">
        <f t="shared" si="50"/>
        <v/>
      </c>
      <c r="G392" s="201"/>
      <c r="H392" s="149" t="str">
        <f t="shared" si="52"/>
        <v/>
      </c>
      <c r="I392" s="198"/>
      <c r="J392" s="198"/>
      <c r="K392" s="198"/>
      <c r="M392" s="144" t="str">
        <f t="shared" si="53"/>
        <v/>
      </c>
      <c r="N392" s="144" t="str">
        <f t="shared" si="54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51"/>
        <v/>
      </c>
      <c r="E393" s="154"/>
      <c r="F393" s="149" t="str">
        <f t="shared" si="50"/>
        <v/>
      </c>
      <c r="G393" s="201"/>
      <c r="H393" s="149" t="str">
        <f t="shared" si="52"/>
        <v/>
      </c>
      <c r="I393" s="198"/>
      <c r="J393" s="198"/>
      <c r="K393" s="198"/>
      <c r="M393" s="144" t="str">
        <f t="shared" si="53"/>
        <v/>
      </c>
      <c r="N393" s="144" t="str">
        <f t="shared" si="54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51"/>
        <v/>
      </c>
      <c r="E394" s="154"/>
      <c r="F394" s="149" t="str">
        <f t="shared" si="50"/>
        <v/>
      </c>
      <c r="G394" s="201"/>
      <c r="H394" s="149" t="str">
        <f t="shared" si="52"/>
        <v/>
      </c>
      <c r="I394" s="198"/>
      <c r="J394" s="198"/>
      <c r="K394" s="198"/>
      <c r="M394" s="144" t="str">
        <f t="shared" si="53"/>
        <v/>
      </c>
      <c r="N394" s="144" t="str">
        <f t="shared" si="54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51"/>
        <v/>
      </c>
      <c r="E395" s="154"/>
      <c r="F395" s="149" t="str">
        <f t="shared" si="50"/>
        <v/>
      </c>
      <c r="G395" s="201"/>
      <c r="H395" s="149" t="str">
        <f t="shared" si="52"/>
        <v/>
      </c>
      <c r="I395" s="198"/>
      <c r="J395" s="198"/>
      <c r="K395" s="198"/>
      <c r="M395" s="144" t="str">
        <f t="shared" si="53"/>
        <v/>
      </c>
      <c r="N395" s="144" t="str">
        <f t="shared" si="54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51"/>
        <v/>
      </c>
      <c r="E396" s="154"/>
      <c r="F396" s="149" t="str">
        <f t="shared" si="50"/>
        <v/>
      </c>
      <c r="G396" s="201"/>
      <c r="H396" s="149" t="str">
        <f t="shared" si="52"/>
        <v/>
      </c>
      <c r="I396" s="198"/>
      <c r="J396" s="198"/>
      <c r="K396" s="198"/>
      <c r="M396" s="144" t="str">
        <f t="shared" si="53"/>
        <v/>
      </c>
      <c r="N396" s="144" t="str">
        <f t="shared" si="54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51"/>
        <v/>
      </c>
      <c r="E397" s="154"/>
      <c r="F397" s="149" t="str">
        <f t="shared" si="50"/>
        <v/>
      </c>
      <c r="G397" s="201"/>
      <c r="H397" s="149" t="str">
        <f t="shared" si="52"/>
        <v/>
      </c>
      <c r="I397" s="198"/>
      <c r="J397" s="198"/>
      <c r="K397" s="198"/>
      <c r="M397" s="144" t="str">
        <f t="shared" si="53"/>
        <v/>
      </c>
      <c r="N397" s="144" t="str">
        <f t="shared" si="54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51"/>
        <v/>
      </c>
      <c r="E398" s="154"/>
      <c r="F398" s="149" t="str">
        <f t="shared" si="50"/>
        <v/>
      </c>
      <c r="G398" s="201"/>
      <c r="H398" s="149" t="str">
        <f t="shared" si="52"/>
        <v/>
      </c>
      <c r="I398" s="198"/>
      <c r="J398" s="198"/>
      <c r="K398" s="198"/>
      <c r="M398" s="144" t="str">
        <f t="shared" si="53"/>
        <v/>
      </c>
      <c r="N398" s="144" t="str">
        <f t="shared" si="54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51"/>
        <v/>
      </c>
      <c r="E399" s="154"/>
      <c r="F399" s="149" t="str">
        <f t="shared" si="50"/>
        <v/>
      </c>
      <c r="G399" s="201"/>
      <c r="H399" s="149" t="str">
        <f t="shared" si="52"/>
        <v/>
      </c>
      <c r="I399" s="198"/>
      <c r="J399" s="198"/>
      <c r="K399" s="198"/>
      <c r="M399" s="144" t="str">
        <f t="shared" si="53"/>
        <v/>
      </c>
      <c r="N399" s="144" t="str">
        <f t="shared" si="54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51"/>
        <v/>
      </c>
      <c r="E400" s="154"/>
      <c r="F400" s="149" t="str">
        <f t="shared" si="50"/>
        <v/>
      </c>
      <c r="G400" s="201"/>
      <c r="H400" s="149" t="str">
        <f t="shared" si="52"/>
        <v/>
      </c>
      <c r="I400" s="198"/>
      <c r="J400" s="198"/>
      <c r="K400" s="198"/>
      <c r="M400" s="144" t="str">
        <f t="shared" si="53"/>
        <v/>
      </c>
      <c r="N400" s="144" t="str">
        <f t="shared" si="54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51"/>
        <v/>
      </c>
      <c r="E401" s="154"/>
      <c r="F401" s="149" t="str">
        <f t="shared" si="50"/>
        <v/>
      </c>
      <c r="G401" s="201"/>
      <c r="H401" s="149" t="str">
        <f t="shared" si="52"/>
        <v/>
      </c>
      <c r="I401" s="198"/>
      <c r="J401" s="198"/>
      <c r="K401" s="198"/>
      <c r="M401" s="144" t="str">
        <f t="shared" si="53"/>
        <v/>
      </c>
      <c r="N401" s="144" t="str">
        <f t="shared" si="54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51"/>
        <v/>
      </c>
      <c r="E402" s="154"/>
      <c r="F402" s="149" t="str">
        <f t="shared" si="50"/>
        <v/>
      </c>
      <c r="G402" s="201"/>
      <c r="H402" s="149" t="str">
        <f t="shared" si="52"/>
        <v/>
      </c>
      <c r="I402" s="198"/>
      <c r="J402" s="198"/>
      <c r="K402" s="198"/>
      <c r="M402" s="144" t="str">
        <f t="shared" si="53"/>
        <v/>
      </c>
      <c r="N402" s="144" t="str">
        <f t="shared" si="54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51"/>
        <v/>
      </c>
      <c r="E403" s="154"/>
      <c r="F403" s="149" t="str">
        <f t="shared" si="50"/>
        <v/>
      </c>
      <c r="G403" s="201"/>
      <c r="H403" s="149" t="str">
        <f t="shared" si="52"/>
        <v/>
      </c>
      <c r="I403" s="198"/>
      <c r="J403" s="198"/>
      <c r="K403" s="198"/>
      <c r="M403" s="144" t="str">
        <f t="shared" si="53"/>
        <v/>
      </c>
      <c r="N403" s="144" t="str">
        <f t="shared" si="54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51"/>
        <v/>
      </c>
      <c r="E404" s="154"/>
      <c r="F404" s="149" t="str">
        <f t="shared" si="50"/>
        <v/>
      </c>
      <c r="G404" s="201"/>
      <c r="H404" s="149" t="str">
        <f t="shared" si="52"/>
        <v/>
      </c>
      <c r="I404" s="198"/>
      <c r="J404" s="198"/>
      <c r="K404" s="198"/>
      <c r="M404" s="144" t="str">
        <f t="shared" si="53"/>
        <v/>
      </c>
      <c r="N404" s="144" t="str">
        <f t="shared" si="54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51"/>
        <v/>
      </c>
      <c r="E405" s="154"/>
      <c r="F405" s="149" t="str">
        <f t="shared" si="50"/>
        <v/>
      </c>
      <c r="G405" s="201"/>
      <c r="H405" s="149" t="str">
        <f t="shared" si="52"/>
        <v/>
      </c>
      <c r="I405" s="198"/>
      <c r="J405" s="198"/>
      <c r="K405" s="198"/>
      <c r="M405" s="144" t="str">
        <f t="shared" si="53"/>
        <v/>
      </c>
      <c r="N405" s="144" t="str">
        <f t="shared" si="54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51"/>
        <v/>
      </c>
      <c r="E406" s="154"/>
      <c r="F406" s="149" t="str">
        <f t="shared" si="50"/>
        <v/>
      </c>
      <c r="G406" s="201"/>
      <c r="H406" s="149" t="str">
        <f t="shared" si="52"/>
        <v/>
      </c>
      <c r="I406" s="198"/>
      <c r="J406" s="198"/>
      <c r="K406" s="198"/>
      <c r="M406" s="144" t="str">
        <f t="shared" si="53"/>
        <v/>
      </c>
      <c r="N406" s="144" t="str">
        <f t="shared" si="54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51"/>
        <v/>
      </c>
      <c r="E407" s="154"/>
      <c r="F407" s="149" t="str">
        <f t="shared" si="50"/>
        <v/>
      </c>
      <c r="G407" s="201"/>
      <c r="H407" s="149" t="str">
        <f t="shared" si="52"/>
        <v/>
      </c>
      <c r="I407" s="198"/>
      <c r="J407" s="198"/>
      <c r="K407" s="198"/>
      <c r="M407" s="144" t="str">
        <f t="shared" si="53"/>
        <v/>
      </c>
      <c r="N407" s="144" t="str">
        <f t="shared" si="54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51"/>
        <v/>
      </c>
      <c r="E408" s="154"/>
      <c r="F408" s="149" t="str">
        <f t="shared" si="50"/>
        <v/>
      </c>
      <c r="G408" s="201"/>
      <c r="H408" s="149" t="str">
        <f t="shared" si="52"/>
        <v/>
      </c>
      <c r="I408" s="198"/>
      <c r="J408" s="198"/>
      <c r="K408" s="198"/>
      <c r="M408" s="144" t="str">
        <f t="shared" si="53"/>
        <v/>
      </c>
      <c r="N408" s="144" t="str">
        <f t="shared" si="54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51"/>
        <v/>
      </c>
      <c r="E409" s="154"/>
      <c r="F409" s="149" t="str">
        <f t="shared" si="50"/>
        <v/>
      </c>
      <c r="G409" s="201"/>
      <c r="H409" s="149" t="str">
        <f t="shared" si="52"/>
        <v/>
      </c>
      <c r="I409" s="198"/>
      <c r="J409" s="198"/>
      <c r="K409" s="198"/>
      <c r="M409" s="144" t="str">
        <f t="shared" si="53"/>
        <v/>
      </c>
      <c r="N409" s="144" t="str">
        <f t="shared" si="54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51"/>
        <v/>
      </c>
      <c r="E410" s="154"/>
      <c r="F410" s="149" t="str">
        <f t="shared" si="50"/>
        <v/>
      </c>
      <c r="G410" s="201"/>
      <c r="H410" s="149" t="str">
        <f t="shared" si="52"/>
        <v/>
      </c>
      <c r="I410" s="198"/>
      <c r="J410" s="198"/>
      <c r="K410" s="198"/>
      <c r="M410" s="144" t="str">
        <f t="shared" si="53"/>
        <v/>
      </c>
      <c r="N410" s="144" t="str">
        <f t="shared" si="54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51"/>
        <v/>
      </c>
      <c r="E411" s="154"/>
      <c r="F411" s="149" t="str">
        <f t="shared" si="50"/>
        <v/>
      </c>
      <c r="G411" s="201"/>
      <c r="H411" s="149" t="str">
        <f t="shared" si="52"/>
        <v/>
      </c>
      <c r="I411" s="198"/>
      <c r="J411" s="198"/>
      <c r="K411" s="198"/>
      <c r="M411" s="144" t="str">
        <f t="shared" si="53"/>
        <v/>
      </c>
      <c r="N411" s="144" t="str">
        <f t="shared" si="54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51"/>
        <v/>
      </c>
      <c r="E412" s="154"/>
      <c r="F412" s="149" t="str">
        <f t="shared" si="50"/>
        <v/>
      </c>
      <c r="G412" s="201"/>
      <c r="H412" s="149" t="str">
        <f t="shared" si="52"/>
        <v/>
      </c>
      <c r="I412" s="198"/>
      <c r="J412" s="198"/>
      <c r="K412" s="198"/>
      <c r="M412" s="144" t="str">
        <f t="shared" si="53"/>
        <v/>
      </c>
      <c r="N412" s="144" t="str">
        <f t="shared" si="54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51"/>
        <v/>
      </c>
      <c r="E413" s="154"/>
      <c r="F413" s="149" t="str">
        <f t="shared" si="50"/>
        <v/>
      </c>
      <c r="G413" s="201"/>
      <c r="H413" s="149" t="str">
        <f t="shared" si="52"/>
        <v/>
      </c>
      <c r="I413" s="198"/>
      <c r="J413" s="198"/>
      <c r="K413" s="198"/>
      <c r="M413" s="144" t="str">
        <f t="shared" si="53"/>
        <v/>
      </c>
      <c r="N413" s="144" t="str">
        <f t="shared" si="54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51"/>
        <v/>
      </c>
      <c r="E414" s="154"/>
      <c r="F414" s="149" t="str">
        <f t="shared" si="50"/>
        <v/>
      </c>
      <c r="G414" s="201"/>
      <c r="H414" s="149" t="str">
        <f t="shared" si="52"/>
        <v/>
      </c>
      <c r="I414" s="198"/>
      <c r="J414" s="198"/>
      <c r="K414" s="198"/>
      <c r="M414" s="144" t="str">
        <f t="shared" si="53"/>
        <v/>
      </c>
      <c r="N414" s="144" t="str">
        <f t="shared" si="54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51"/>
        <v/>
      </c>
      <c r="E415" s="154"/>
      <c r="F415" s="149" t="str">
        <f t="shared" si="50"/>
        <v/>
      </c>
      <c r="G415" s="201"/>
      <c r="H415" s="149" t="str">
        <f t="shared" si="52"/>
        <v/>
      </c>
      <c r="I415" s="198"/>
      <c r="J415" s="198"/>
      <c r="K415" s="198"/>
      <c r="M415" s="144" t="str">
        <f t="shared" si="53"/>
        <v/>
      </c>
      <c r="N415" s="144" t="str">
        <f t="shared" si="54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51"/>
        <v/>
      </c>
      <c r="E416" s="154"/>
      <c r="F416" s="149" t="str">
        <f t="shared" si="50"/>
        <v/>
      </c>
      <c r="G416" s="201"/>
      <c r="H416" s="149" t="str">
        <f t="shared" si="52"/>
        <v/>
      </c>
      <c r="I416" s="198"/>
      <c r="J416" s="198"/>
      <c r="K416" s="198"/>
      <c r="M416" s="144" t="str">
        <f t="shared" si="53"/>
        <v/>
      </c>
      <c r="N416" s="144" t="str">
        <f t="shared" si="54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51"/>
        <v/>
      </c>
      <c r="E417" s="154"/>
      <c r="F417" s="149" t="str">
        <f t="shared" si="50"/>
        <v/>
      </c>
      <c r="G417" s="201"/>
      <c r="H417" s="149" t="str">
        <f t="shared" si="52"/>
        <v/>
      </c>
      <c r="I417" s="198"/>
      <c r="J417" s="198"/>
      <c r="K417" s="198"/>
      <c r="M417" s="144" t="str">
        <f t="shared" si="53"/>
        <v/>
      </c>
      <c r="N417" s="144" t="str">
        <f t="shared" si="54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51"/>
        <v/>
      </c>
      <c r="E418" s="154"/>
      <c r="F418" s="149" t="str">
        <f t="shared" si="50"/>
        <v/>
      </c>
      <c r="G418" s="201"/>
      <c r="H418" s="149" t="str">
        <f t="shared" si="52"/>
        <v/>
      </c>
      <c r="I418" s="198"/>
      <c r="J418" s="198"/>
      <c r="K418" s="198"/>
      <c r="M418" s="144" t="str">
        <f t="shared" si="53"/>
        <v/>
      </c>
      <c r="N418" s="144" t="str">
        <f t="shared" si="54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51"/>
        <v/>
      </c>
      <c r="E419" s="154"/>
      <c r="F419" s="149" t="str">
        <f t="shared" si="50"/>
        <v/>
      </c>
      <c r="G419" s="201"/>
      <c r="H419" s="149" t="str">
        <f t="shared" si="52"/>
        <v/>
      </c>
      <c r="I419" s="198"/>
      <c r="J419" s="198"/>
      <c r="K419" s="198"/>
      <c r="M419" s="144" t="str">
        <f t="shared" si="53"/>
        <v/>
      </c>
      <c r="N419" s="144" t="str">
        <f t="shared" si="54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51"/>
        <v/>
      </c>
      <c r="E420" s="154"/>
      <c r="F420" s="149" t="str">
        <f t="shared" si="50"/>
        <v/>
      </c>
      <c r="G420" s="201"/>
      <c r="H420" s="149" t="str">
        <f t="shared" si="52"/>
        <v/>
      </c>
      <c r="I420" s="198"/>
      <c r="J420" s="198"/>
      <c r="K420" s="198"/>
      <c r="M420" s="144" t="str">
        <f t="shared" si="53"/>
        <v/>
      </c>
      <c r="N420" s="144" t="str">
        <f t="shared" si="54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51"/>
        <v/>
      </c>
      <c r="E421" s="154"/>
      <c r="F421" s="149" t="str">
        <f t="shared" si="50"/>
        <v/>
      </c>
      <c r="G421" s="201"/>
      <c r="H421" s="149" t="str">
        <f t="shared" si="52"/>
        <v/>
      </c>
      <c r="I421" s="198"/>
      <c r="J421" s="198"/>
      <c r="K421" s="198"/>
      <c r="M421" s="144" t="str">
        <f t="shared" si="53"/>
        <v/>
      </c>
      <c r="N421" s="144" t="str">
        <f t="shared" si="54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51"/>
        <v/>
      </c>
      <c r="E422" s="154"/>
      <c r="F422" s="149" t="str">
        <f t="shared" si="50"/>
        <v/>
      </c>
      <c r="G422" s="201"/>
      <c r="H422" s="149" t="str">
        <f t="shared" si="52"/>
        <v/>
      </c>
      <c r="I422" s="198"/>
      <c r="J422" s="198"/>
      <c r="K422" s="198"/>
      <c r="M422" s="144" t="str">
        <f t="shared" si="53"/>
        <v/>
      </c>
      <c r="N422" s="144" t="str">
        <f t="shared" si="54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51"/>
        <v/>
      </c>
      <c r="E423" s="154"/>
      <c r="F423" s="149" t="str">
        <f t="shared" si="50"/>
        <v/>
      </c>
      <c r="G423" s="201"/>
      <c r="H423" s="149" t="str">
        <f t="shared" si="52"/>
        <v/>
      </c>
      <c r="I423" s="198"/>
      <c r="J423" s="198"/>
      <c r="K423" s="198"/>
      <c r="M423" s="144" t="str">
        <f t="shared" si="53"/>
        <v/>
      </c>
      <c r="N423" s="144" t="str">
        <f t="shared" si="54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51"/>
        <v/>
      </c>
      <c r="E424" s="154"/>
      <c r="F424" s="149" t="str">
        <f t="shared" si="50"/>
        <v/>
      </c>
      <c r="G424" s="201"/>
      <c r="H424" s="149" t="str">
        <f t="shared" si="52"/>
        <v/>
      </c>
      <c r="I424" s="198"/>
      <c r="J424" s="198"/>
      <c r="K424" s="198"/>
      <c r="M424" s="144" t="str">
        <f t="shared" si="53"/>
        <v/>
      </c>
      <c r="N424" s="144" t="str">
        <f t="shared" si="54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51"/>
        <v/>
      </c>
      <c r="E425" s="154"/>
      <c r="F425" s="149" t="str">
        <f t="shared" si="50"/>
        <v/>
      </c>
      <c r="G425" s="201"/>
      <c r="H425" s="149" t="str">
        <f t="shared" si="52"/>
        <v/>
      </c>
      <c r="I425" s="198"/>
      <c r="J425" s="198"/>
      <c r="K425" s="198"/>
      <c r="M425" s="144" t="str">
        <f t="shared" si="53"/>
        <v/>
      </c>
      <c r="N425" s="144" t="str">
        <f t="shared" si="54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51"/>
        <v/>
      </c>
      <c r="E426" s="154"/>
      <c r="F426" s="149" t="str">
        <f t="shared" si="50"/>
        <v/>
      </c>
      <c r="G426" s="201"/>
      <c r="H426" s="149" t="str">
        <f t="shared" si="52"/>
        <v/>
      </c>
      <c r="I426" s="198"/>
      <c r="J426" s="198"/>
      <c r="K426" s="198"/>
      <c r="M426" s="144" t="str">
        <f t="shared" si="53"/>
        <v/>
      </c>
      <c r="N426" s="144" t="str">
        <f t="shared" si="54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51"/>
        <v/>
      </c>
      <c r="E427" s="154"/>
      <c r="F427" s="149" t="str">
        <f t="shared" si="50"/>
        <v/>
      </c>
      <c r="G427" s="201"/>
      <c r="H427" s="149" t="str">
        <f t="shared" si="52"/>
        <v/>
      </c>
      <c r="I427" s="198"/>
      <c r="J427" s="198"/>
      <c r="K427" s="198"/>
      <c r="M427" s="144" t="str">
        <f t="shared" si="53"/>
        <v/>
      </c>
      <c r="N427" s="144" t="str">
        <f t="shared" si="54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51"/>
        <v/>
      </c>
      <c r="E428" s="154"/>
      <c r="F428" s="149" t="str">
        <f t="shared" si="50"/>
        <v/>
      </c>
      <c r="G428" s="201"/>
      <c r="H428" s="149" t="str">
        <f t="shared" si="52"/>
        <v/>
      </c>
      <c r="I428" s="198"/>
      <c r="J428" s="198"/>
      <c r="K428" s="198"/>
      <c r="M428" s="144" t="str">
        <f t="shared" si="53"/>
        <v/>
      </c>
      <c r="N428" s="144" t="str">
        <f t="shared" si="54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51"/>
        <v/>
      </c>
      <c r="E429" s="154"/>
      <c r="F429" s="149" t="str">
        <f t="shared" si="50"/>
        <v/>
      </c>
      <c r="G429" s="201"/>
      <c r="H429" s="149" t="str">
        <f t="shared" si="52"/>
        <v/>
      </c>
      <c r="I429" s="198"/>
      <c r="J429" s="198"/>
      <c r="K429" s="198"/>
      <c r="M429" s="144" t="str">
        <f t="shared" si="53"/>
        <v/>
      </c>
      <c r="N429" s="144" t="str">
        <f t="shared" si="54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51"/>
        <v/>
      </c>
      <c r="E430" s="154"/>
      <c r="F430" s="149" t="str">
        <f t="shared" si="50"/>
        <v/>
      </c>
      <c r="G430" s="201"/>
      <c r="H430" s="149" t="str">
        <f t="shared" si="52"/>
        <v/>
      </c>
      <c r="I430" s="198"/>
      <c r="J430" s="198"/>
      <c r="K430" s="198"/>
      <c r="M430" s="144" t="str">
        <f t="shared" si="53"/>
        <v/>
      </c>
      <c r="N430" s="144" t="str">
        <f t="shared" si="54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51"/>
        <v/>
      </c>
      <c r="E431" s="154"/>
      <c r="F431" s="149" t="str">
        <f t="shared" si="50"/>
        <v/>
      </c>
      <c r="G431" s="201"/>
      <c r="H431" s="149" t="str">
        <f t="shared" si="52"/>
        <v/>
      </c>
      <c r="I431" s="198"/>
      <c r="J431" s="198"/>
      <c r="K431" s="198"/>
      <c r="M431" s="144" t="str">
        <f t="shared" si="53"/>
        <v/>
      </c>
      <c r="N431" s="144" t="str">
        <f t="shared" si="54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51"/>
        <v/>
      </c>
      <c r="E432" s="154"/>
      <c r="F432" s="149" t="str">
        <f t="shared" si="50"/>
        <v/>
      </c>
      <c r="G432" s="201"/>
      <c r="H432" s="149" t="str">
        <f t="shared" si="52"/>
        <v/>
      </c>
      <c r="I432" s="198"/>
      <c r="J432" s="198"/>
      <c r="K432" s="198"/>
      <c r="M432" s="144" t="str">
        <f t="shared" si="53"/>
        <v/>
      </c>
      <c r="N432" s="144" t="str">
        <f t="shared" si="54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51"/>
        <v/>
      </c>
      <c r="E433" s="154"/>
      <c r="F433" s="149" t="str">
        <f t="shared" si="50"/>
        <v/>
      </c>
      <c r="G433" s="201"/>
      <c r="H433" s="149" t="str">
        <f t="shared" si="52"/>
        <v/>
      </c>
      <c r="I433" s="198"/>
      <c r="J433" s="198"/>
      <c r="K433" s="198"/>
      <c r="M433" s="144" t="str">
        <f t="shared" si="53"/>
        <v/>
      </c>
      <c r="N433" s="144" t="str">
        <f t="shared" si="54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51"/>
        <v/>
      </c>
      <c r="E434" s="154"/>
      <c r="F434" s="149" t="str">
        <f t="shared" si="50"/>
        <v/>
      </c>
      <c r="G434" s="201"/>
      <c r="H434" s="149" t="str">
        <f t="shared" si="52"/>
        <v/>
      </c>
      <c r="I434" s="198"/>
      <c r="J434" s="198"/>
      <c r="K434" s="198"/>
      <c r="M434" s="144" t="str">
        <f t="shared" si="53"/>
        <v/>
      </c>
      <c r="N434" s="144" t="str">
        <f t="shared" si="54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51"/>
        <v/>
      </c>
      <c r="E435" s="154"/>
      <c r="F435" s="149" t="str">
        <f t="shared" si="50"/>
        <v/>
      </c>
      <c r="G435" s="201"/>
      <c r="H435" s="149" t="str">
        <f t="shared" si="52"/>
        <v/>
      </c>
      <c r="I435" s="198"/>
      <c r="J435" s="198"/>
      <c r="K435" s="198"/>
      <c r="M435" s="144" t="str">
        <f t="shared" si="53"/>
        <v/>
      </c>
      <c r="N435" s="144" t="str">
        <f t="shared" si="54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51"/>
        <v/>
      </c>
      <c r="E436" s="154"/>
      <c r="F436" s="149" t="str">
        <f t="shared" si="50"/>
        <v/>
      </c>
      <c r="G436" s="201"/>
      <c r="H436" s="149" t="str">
        <f t="shared" si="52"/>
        <v/>
      </c>
      <c r="I436" s="198"/>
      <c r="J436" s="198"/>
      <c r="K436" s="198"/>
      <c r="M436" s="144" t="str">
        <f t="shared" si="53"/>
        <v/>
      </c>
      <c r="N436" s="144" t="str">
        <f t="shared" si="54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51"/>
        <v/>
      </c>
      <c r="E437" s="154"/>
      <c r="F437" s="149" t="str">
        <f t="shared" si="50"/>
        <v/>
      </c>
      <c r="G437" s="201"/>
      <c r="H437" s="149" t="str">
        <f t="shared" si="52"/>
        <v/>
      </c>
      <c r="I437" s="198"/>
      <c r="J437" s="198"/>
      <c r="K437" s="198"/>
      <c r="M437" s="144" t="str">
        <f t="shared" si="53"/>
        <v/>
      </c>
      <c r="N437" s="144" t="str">
        <f t="shared" si="54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51"/>
        <v/>
      </c>
      <c r="E438" s="154"/>
      <c r="F438" s="149" t="str">
        <f t="shared" si="50"/>
        <v/>
      </c>
      <c r="G438" s="201"/>
      <c r="H438" s="149" t="str">
        <f t="shared" si="52"/>
        <v/>
      </c>
      <c r="I438" s="198"/>
      <c r="J438" s="198"/>
      <c r="K438" s="198"/>
      <c r="M438" s="144" t="str">
        <f t="shared" si="53"/>
        <v/>
      </c>
      <c r="N438" s="144" t="str">
        <f t="shared" si="54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51"/>
        <v/>
      </c>
      <c r="E439" s="154"/>
      <c r="F439" s="149" t="str">
        <f t="shared" si="50"/>
        <v/>
      </c>
      <c r="G439" s="201"/>
      <c r="H439" s="149" t="str">
        <f t="shared" si="52"/>
        <v/>
      </c>
      <c r="I439" s="198"/>
      <c r="J439" s="198"/>
      <c r="K439" s="198"/>
      <c r="M439" s="144" t="str">
        <f t="shared" si="53"/>
        <v/>
      </c>
      <c r="N439" s="144" t="str">
        <f t="shared" si="54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51"/>
        <v/>
      </c>
      <c r="E440" s="154"/>
      <c r="F440" s="149" t="str">
        <f t="shared" si="50"/>
        <v/>
      </c>
      <c r="G440" s="201"/>
      <c r="H440" s="149" t="str">
        <f t="shared" si="52"/>
        <v/>
      </c>
      <c r="I440" s="198"/>
      <c r="J440" s="198"/>
      <c r="K440" s="198"/>
      <c r="M440" s="144" t="str">
        <f t="shared" si="53"/>
        <v/>
      </c>
      <c r="N440" s="144" t="str">
        <f t="shared" si="54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51"/>
        <v/>
      </c>
      <c r="E441" s="154"/>
      <c r="F441" s="149" t="str">
        <f t="shared" si="50"/>
        <v/>
      </c>
      <c r="G441" s="201"/>
      <c r="H441" s="149" t="str">
        <f t="shared" si="52"/>
        <v/>
      </c>
      <c r="I441" s="198"/>
      <c r="J441" s="198"/>
      <c r="K441" s="198"/>
      <c r="M441" s="144" t="str">
        <f t="shared" si="53"/>
        <v/>
      </c>
      <c r="N441" s="144" t="str">
        <f t="shared" si="54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51"/>
        <v/>
      </c>
      <c r="E442" s="154"/>
      <c r="F442" s="149" t="str">
        <f t="shared" si="50"/>
        <v/>
      </c>
      <c r="G442" s="201"/>
      <c r="H442" s="149" t="str">
        <f t="shared" si="52"/>
        <v/>
      </c>
      <c r="I442" s="198"/>
      <c r="J442" s="198"/>
      <c r="K442" s="198"/>
      <c r="M442" s="144" t="str">
        <f t="shared" si="53"/>
        <v/>
      </c>
      <c r="N442" s="144" t="str">
        <f t="shared" si="54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51"/>
        <v/>
      </c>
      <c r="E443" s="154"/>
      <c r="F443" s="149" t="str">
        <f t="shared" si="50"/>
        <v/>
      </c>
      <c r="G443" s="201"/>
      <c r="H443" s="149" t="str">
        <f t="shared" si="52"/>
        <v/>
      </c>
      <c r="I443" s="198"/>
      <c r="J443" s="198"/>
      <c r="K443" s="198"/>
      <c r="M443" s="144" t="str">
        <f t="shared" si="53"/>
        <v/>
      </c>
      <c r="N443" s="144" t="str">
        <f t="shared" si="54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51"/>
        <v/>
      </c>
      <c r="E444" s="154"/>
      <c r="F444" s="149" t="str">
        <f t="shared" si="50"/>
        <v/>
      </c>
      <c r="G444" s="201"/>
      <c r="H444" s="149" t="str">
        <f t="shared" si="52"/>
        <v/>
      </c>
      <c r="I444" s="198"/>
      <c r="J444" s="198"/>
      <c r="K444" s="198"/>
      <c r="M444" s="144" t="str">
        <f t="shared" si="53"/>
        <v/>
      </c>
      <c r="N444" s="144" t="str">
        <f t="shared" si="54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51"/>
        <v/>
      </c>
      <c r="E445" s="154"/>
      <c r="F445" s="149" t="str">
        <f t="shared" si="50"/>
        <v/>
      </c>
      <c r="G445" s="201"/>
      <c r="H445" s="149" t="str">
        <f t="shared" si="52"/>
        <v/>
      </c>
      <c r="I445" s="198"/>
      <c r="J445" s="198"/>
      <c r="K445" s="198"/>
      <c r="M445" s="144" t="str">
        <f t="shared" si="53"/>
        <v/>
      </c>
      <c r="N445" s="144" t="str">
        <f t="shared" si="54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51"/>
        <v/>
      </c>
      <c r="E446" s="154"/>
      <c r="F446" s="149" t="str">
        <f t="shared" si="50"/>
        <v/>
      </c>
      <c r="G446" s="201"/>
      <c r="H446" s="149" t="str">
        <f t="shared" si="52"/>
        <v/>
      </c>
      <c r="I446" s="198"/>
      <c r="J446" s="198"/>
      <c r="K446" s="198"/>
      <c r="M446" s="144" t="str">
        <f t="shared" si="53"/>
        <v/>
      </c>
      <c r="N446" s="144" t="str">
        <f t="shared" si="54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51"/>
        <v/>
      </c>
      <c r="E447" s="154"/>
      <c r="F447" s="149" t="str">
        <f t="shared" si="50"/>
        <v/>
      </c>
      <c r="G447" s="201"/>
      <c r="H447" s="149" t="str">
        <f t="shared" si="52"/>
        <v/>
      </c>
      <c r="I447" s="198"/>
      <c r="J447" s="198"/>
      <c r="K447" s="198"/>
      <c r="M447" s="144" t="str">
        <f t="shared" si="53"/>
        <v/>
      </c>
      <c r="N447" s="144" t="str">
        <f t="shared" si="54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51"/>
        <v/>
      </c>
      <c r="E448" s="154"/>
      <c r="F448" s="149" t="str">
        <f t="shared" si="50"/>
        <v/>
      </c>
      <c r="G448" s="201"/>
      <c r="H448" s="149" t="str">
        <f t="shared" si="52"/>
        <v/>
      </c>
      <c r="I448" s="198"/>
      <c r="J448" s="198"/>
      <c r="K448" s="198"/>
      <c r="M448" s="144" t="str">
        <f t="shared" si="53"/>
        <v/>
      </c>
      <c r="N448" s="144" t="str">
        <f t="shared" si="54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51"/>
        <v/>
      </c>
      <c r="E449" s="154"/>
      <c r="F449" s="149" t="str">
        <f t="shared" si="50"/>
        <v/>
      </c>
      <c r="G449" s="201"/>
      <c r="H449" s="149" t="str">
        <f t="shared" si="52"/>
        <v/>
      </c>
      <c r="I449" s="198"/>
      <c r="J449" s="198"/>
      <c r="K449" s="198"/>
      <c r="M449" s="144" t="str">
        <f t="shared" si="53"/>
        <v/>
      </c>
      <c r="N449" s="144" t="str">
        <f t="shared" si="54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51"/>
        <v/>
      </c>
      <c r="E450" s="154"/>
      <c r="F450" s="149" t="str">
        <f t="shared" si="50"/>
        <v/>
      </c>
      <c r="G450" s="201"/>
      <c r="H450" s="149" t="str">
        <f t="shared" si="52"/>
        <v/>
      </c>
      <c r="I450" s="198"/>
      <c r="J450" s="198"/>
      <c r="K450" s="198"/>
      <c r="M450" s="144" t="str">
        <f t="shared" si="53"/>
        <v/>
      </c>
      <c r="N450" s="144" t="str">
        <f t="shared" si="54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51"/>
        <v/>
      </c>
      <c r="E451" s="154"/>
      <c r="F451" s="149" t="str">
        <f t="shared" ref="F451:F501" si="55">IFERROR(VLOOKUP(E451,$R$5:$T$129,2,FALSE),"")</f>
        <v/>
      </c>
      <c r="G451" s="201"/>
      <c r="H451" s="149" t="str">
        <f t="shared" si="52"/>
        <v/>
      </c>
      <c r="I451" s="198"/>
      <c r="J451" s="198"/>
      <c r="K451" s="198"/>
      <c r="M451" s="144" t="str">
        <f t="shared" si="53"/>
        <v/>
      </c>
      <c r="N451" s="144" t="str">
        <f t="shared" si="54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6">IFERROR(VLOOKUP(C452,$O$6:$P$16,2,FALSE),"")</f>
        <v/>
      </c>
      <c r="E452" s="154"/>
      <c r="F452" s="149" t="str">
        <f t="shared" si="55"/>
        <v/>
      </c>
      <c r="G452" s="201"/>
      <c r="H452" s="149" t="str">
        <f t="shared" ref="H452:H501" si="57">IFERROR(VLOOKUP(G452,$X$6:$Y$50,2,FALSE),"")</f>
        <v/>
      </c>
      <c r="I452" s="198"/>
      <c r="J452" s="198"/>
      <c r="K452" s="198"/>
      <c r="M452" s="144" t="str">
        <f t="shared" ref="M452:M501" si="58">LEFT(E452,3)</f>
        <v/>
      </c>
      <c r="N452" s="144" t="str">
        <f t="shared" ref="N452:N501" si="59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6"/>
        <v/>
      </c>
      <c r="E453" s="154"/>
      <c r="F453" s="149" t="str">
        <f t="shared" si="55"/>
        <v/>
      </c>
      <c r="G453" s="201"/>
      <c r="H453" s="149" t="str">
        <f t="shared" si="57"/>
        <v/>
      </c>
      <c r="I453" s="198"/>
      <c r="J453" s="198"/>
      <c r="K453" s="198"/>
      <c r="M453" s="144" t="str">
        <f t="shared" si="58"/>
        <v/>
      </c>
      <c r="N453" s="144" t="str">
        <f t="shared" si="59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6"/>
        <v/>
      </c>
      <c r="E454" s="154"/>
      <c r="F454" s="149" t="str">
        <f t="shared" si="55"/>
        <v/>
      </c>
      <c r="G454" s="201"/>
      <c r="H454" s="149" t="str">
        <f t="shared" si="57"/>
        <v/>
      </c>
      <c r="I454" s="198"/>
      <c r="J454" s="198"/>
      <c r="K454" s="198"/>
      <c r="M454" s="144" t="str">
        <f t="shared" si="58"/>
        <v/>
      </c>
      <c r="N454" s="144" t="str">
        <f t="shared" si="59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6"/>
        <v/>
      </c>
      <c r="E455" s="154"/>
      <c r="F455" s="149" t="str">
        <f t="shared" si="55"/>
        <v/>
      </c>
      <c r="G455" s="201"/>
      <c r="H455" s="149" t="str">
        <f t="shared" si="57"/>
        <v/>
      </c>
      <c r="I455" s="198"/>
      <c r="J455" s="198"/>
      <c r="K455" s="198"/>
      <c r="M455" s="144" t="str">
        <f t="shared" si="58"/>
        <v/>
      </c>
      <c r="N455" s="144" t="str">
        <f t="shared" si="59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6"/>
        <v/>
      </c>
      <c r="E456" s="154"/>
      <c r="F456" s="149" t="str">
        <f t="shared" si="55"/>
        <v/>
      </c>
      <c r="G456" s="201"/>
      <c r="H456" s="149" t="str">
        <f t="shared" si="57"/>
        <v/>
      </c>
      <c r="I456" s="198"/>
      <c r="J456" s="198"/>
      <c r="K456" s="198"/>
      <c r="M456" s="144" t="str">
        <f t="shared" si="58"/>
        <v/>
      </c>
      <c r="N456" s="144" t="str">
        <f t="shared" si="59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6"/>
        <v/>
      </c>
      <c r="E457" s="154"/>
      <c r="F457" s="149" t="str">
        <f t="shared" si="55"/>
        <v/>
      </c>
      <c r="G457" s="201"/>
      <c r="H457" s="149" t="str">
        <f t="shared" si="57"/>
        <v/>
      </c>
      <c r="I457" s="198"/>
      <c r="J457" s="198"/>
      <c r="K457" s="198"/>
      <c r="M457" s="144" t="str">
        <f t="shared" si="58"/>
        <v/>
      </c>
      <c r="N457" s="144" t="str">
        <f t="shared" si="59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6"/>
        <v/>
      </c>
      <c r="E458" s="154"/>
      <c r="F458" s="149" t="str">
        <f t="shared" si="55"/>
        <v/>
      </c>
      <c r="G458" s="201"/>
      <c r="H458" s="149" t="str">
        <f t="shared" si="57"/>
        <v/>
      </c>
      <c r="I458" s="198"/>
      <c r="J458" s="198"/>
      <c r="K458" s="198"/>
      <c r="M458" s="144" t="str">
        <f t="shared" si="58"/>
        <v/>
      </c>
      <c r="N458" s="144" t="str">
        <f t="shared" si="59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6"/>
        <v/>
      </c>
      <c r="E459" s="154"/>
      <c r="F459" s="149" t="str">
        <f t="shared" si="55"/>
        <v/>
      </c>
      <c r="G459" s="201"/>
      <c r="H459" s="149" t="str">
        <f t="shared" si="57"/>
        <v/>
      </c>
      <c r="I459" s="198"/>
      <c r="J459" s="198"/>
      <c r="K459" s="198"/>
      <c r="M459" s="144" t="str">
        <f t="shared" si="58"/>
        <v/>
      </c>
      <c r="N459" s="144" t="str">
        <f t="shared" si="59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6"/>
        <v/>
      </c>
      <c r="E460" s="154"/>
      <c r="F460" s="149" t="str">
        <f t="shared" si="55"/>
        <v/>
      </c>
      <c r="G460" s="201"/>
      <c r="H460" s="149" t="str">
        <f t="shared" si="57"/>
        <v/>
      </c>
      <c r="I460" s="198"/>
      <c r="J460" s="198"/>
      <c r="K460" s="198"/>
      <c r="M460" s="144" t="str">
        <f t="shared" si="58"/>
        <v/>
      </c>
      <c r="N460" s="144" t="str">
        <f t="shared" si="59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6"/>
        <v/>
      </c>
      <c r="E461" s="154"/>
      <c r="F461" s="149" t="str">
        <f t="shared" si="55"/>
        <v/>
      </c>
      <c r="G461" s="201"/>
      <c r="H461" s="149" t="str">
        <f t="shared" si="57"/>
        <v/>
      </c>
      <c r="I461" s="198"/>
      <c r="J461" s="198"/>
      <c r="K461" s="198"/>
      <c r="M461" s="144" t="str">
        <f t="shared" si="58"/>
        <v/>
      </c>
      <c r="N461" s="144" t="str">
        <f t="shared" si="59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6"/>
        <v/>
      </c>
      <c r="E462" s="154"/>
      <c r="F462" s="149" t="str">
        <f t="shared" si="55"/>
        <v/>
      </c>
      <c r="G462" s="201"/>
      <c r="H462" s="149" t="str">
        <f t="shared" si="57"/>
        <v/>
      </c>
      <c r="I462" s="198"/>
      <c r="J462" s="198"/>
      <c r="K462" s="198"/>
      <c r="M462" s="144" t="str">
        <f t="shared" si="58"/>
        <v/>
      </c>
      <c r="N462" s="144" t="str">
        <f t="shared" si="59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6"/>
        <v/>
      </c>
      <c r="E463" s="154"/>
      <c r="F463" s="149" t="str">
        <f t="shared" si="55"/>
        <v/>
      </c>
      <c r="G463" s="201"/>
      <c r="H463" s="149" t="str">
        <f t="shared" si="57"/>
        <v/>
      </c>
      <c r="I463" s="198"/>
      <c r="J463" s="198"/>
      <c r="K463" s="198"/>
      <c r="M463" s="144" t="str">
        <f t="shared" si="58"/>
        <v/>
      </c>
      <c r="N463" s="144" t="str">
        <f t="shared" si="59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6"/>
        <v/>
      </c>
      <c r="E464" s="154"/>
      <c r="F464" s="149" t="str">
        <f t="shared" si="55"/>
        <v/>
      </c>
      <c r="G464" s="201"/>
      <c r="H464" s="149" t="str">
        <f t="shared" si="57"/>
        <v/>
      </c>
      <c r="I464" s="198"/>
      <c r="J464" s="198"/>
      <c r="K464" s="198"/>
      <c r="M464" s="144" t="str">
        <f t="shared" si="58"/>
        <v/>
      </c>
      <c r="N464" s="144" t="str">
        <f t="shared" si="59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6"/>
        <v/>
      </c>
      <c r="E465" s="154"/>
      <c r="F465" s="149" t="str">
        <f t="shared" si="55"/>
        <v/>
      </c>
      <c r="G465" s="201"/>
      <c r="H465" s="149" t="str">
        <f t="shared" si="57"/>
        <v/>
      </c>
      <c r="I465" s="198"/>
      <c r="J465" s="198"/>
      <c r="K465" s="198"/>
      <c r="M465" s="144" t="str">
        <f t="shared" si="58"/>
        <v/>
      </c>
      <c r="N465" s="144" t="str">
        <f t="shared" si="59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6"/>
        <v/>
      </c>
      <c r="E466" s="154"/>
      <c r="F466" s="149" t="str">
        <f t="shared" si="55"/>
        <v/>
      </c>
      <c r="G466" s="201"/>
      <c r="H466" s="149" t="str">
        <f t="shared" si="57"/>
        <v/>
      </c>
      <c r="I466" s="198"/>
      <c r="J466" s="198"/>
      <c r="K466" s="198"/>
      <c r="M466" s="144" t="str">
        <f t="shared" si="58"/>
        <v/>
      </c>
      <c r="N466" s="144" t="str">
        <f t="shared" si="59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6"/>
        <v/>
      </c>
      <c r="E467" s="154"/>
      <c r="F467" s="149" t="str">
        <f t="shared" si="55"/>
        <v/>
      </c>
      <c r="G467" s="201"/>
      <c r="H467" s="149" t="str">
        <f t="shared" si="57"/>
        <v/>
      </c>
      <c r="I467" s="198"/>
      <c r="J467" s="198"/>
      <c r="K467" s="198"/>
      <c r="M467" s="144" t="str">
        <f t="shared" si="58"/>
        <v/>
      </c>
      <c r="N467" s="144" t="str">
        <f t="shared" si="59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6"/>
        <v/>
      </c>
      <c r="E468" s="154"/>
      <c r="F468" s="149" t="str">
        <f t="shared" si="55"/>
        <v/>
      </c>
      <c r="G468" s="201"/>
      <c r="H468" s="149" t="str">
        <f t="shared" si="57"/>
        <v/>
      </c>
      <c r="I468" s="198"/>
      <c r="J468" s="198"/>
      <c r="K468" s="198"/>
      <c r="M468" s="144" t="str">
        <f t="shared" si="58"/>
        <v/>
      </c>
      <c r="N468" s="144" t="str">
        <f t="shared" si="59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6"/>
        <v/>
      </c>
      <c r="E469" s="154"/>
      <c r="F469" s="149" t="str">
        <f t="shared" si="55"/>
        <v/>
      </c>
      <c r="G469" s="201"/>
      <c r="H469" s="149" t="str">
        <f t="shared" si="57"/>
        <v/>
      </c>
      <c r="I469" s="198"/>
      <c r="J469" s="198"/>
      <c r="K469" s="198"/>
      <c r="M469" s="144" t="str">
        <f t="shared" si="58"/>
        <v/>
      </c>
      <c r="N469" s="144" t="str">
        <f t="shared" si="59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6"/>
        <v/>
      </c>
      <c r="E470" s="154"/>
      <c r="F470" s="149" t="str">
        <f t="shared" si="55"/>
        <v/>
      </c>
      <c r="G470" s="201"/>
      <c r="H470" s="149" t="str">
        <f t="shared" si="57"/>
        <v/>
      </c>
      <c r="I470" s="198"/>
      <c r="J470" s="198"/>
      <c r="K470" s="198"/>
      <c r="M470" s="144" t="str">
        <f t="shared" si="58"/>
        <v/>
      </c>
      <c r="N470" s="144" t="str">
        <f t="shared" si="59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6"/>
        <v/>
      </c>
      <c r="E471" s="154"/>
      <c r="F471" s="149" t="str">
        <f t="shared" si="55"/>
        <v/>
      </c>
      <c r="G471" s="201"/>
      <c r="H471" s="149" t="str">
        <f t="shared" si="57"/>
        <v/>
      </c>
      <c r="I471" s="198"/>
      <c r="J471" s="198"/>
      <c r="K471" s="198"/>
      <c r="M471" s="144" t="str">
        <f t="shared" si="58"/>
        <v/>
      </c>
      <c r="N471" s="144" t="str">
        <f t="shared" si="59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6"/>
        <v/>
      </c>
      <c r="E472" s="154"/>
      <c r="F472" s="149" t="str">
        <f t="shared" si="55"/>
        <v/>
      </c>
      <c r="G472" s="201"/>
      <c r="H472" s="149" t="str">
        <f t="shared" si="57"/>
        <v/>
      </c>
      <c r="I472" s="198"/>
      <c r="J472" s="198"/>
      <c r="K472" s="198"/>
      <c r="M472" s="144" t="str">
        <f t="shared" si="58"/>
        <v/>
      </c>
      <c r="N472" s="144" t="str">
        <f t="shared" si="59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6"/>
        <v/>
      </c>
      <c r="E473" s="154"/>
      <c r="F473" s="149" t="str">
        <f t="shared" si="55"/>
        <v/>
      </c>
      <c r="G473" s="201"/>
      <c r="H473" s="149" t="str">
        <f t="shared" si="57"/>
        <v/>
      </c>
      <c r="I473" s="198"/>
      <c r="J473" s="198"/>
      <c r="K473" s="198"/>
      <c r="M473" s="144" t="str">
        <f t="shared" si="58"/>
        <v/>
      </c>
      <c r="N473" s="144" t="str">
        <f t="shared" si="59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6"/>
        <v/>
      </c>
      <c r="E474" s="154"/>
      <c r="F474" s="149" t="str">
        <f t="shared" si="55"/>
        <v/>
      </c>
      <c r="G474" s="201"/>
      <c r="H474" s="149" t="str">
        <f t="shared" si="57"/>
        <v/>
      </c>
      <c r="I474" s="198"/>
      <c r="J474" s="198"/>
      <c r="K474" s="198"/>
      <c r="M474" s="144" t="str">
        <f t="shared" si="58"/>
        <v/>
      </c>
      <c r="N474" s="144" t="str">
        <f t="shared" si="59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6"/>
        <v/>
      </c>
      <c r="E475" s="154"/>
      <c r="F475" s="149" t="str">
        <f t="shared" si="55"/>
        <v/>
      </c>
      <c r="G475" s="201"/>
      <c r="H475" s="149" t="str">
        <f t="shared" si="57"/>
        <v/>
      </c>
      <c r="I475" s="198"/>
      <c r="J475" s="198"/>
      <c r="K475" s="198"/>
      <c r="M475" s="144" t="str">
        <f t="shared" si="58"/>
        <v/>
      </c>
      <c r="N475" s="144" t="str">
        <f t="shared" si="59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6"/>
        <v/>
      </c>
      <c r="E476" s="154"/>
      <c r="F476" s="149" t="str">
        <f t="shared" si="55"/>
        <v/>
      </c>
      <c r="G476" s="201"/>
      <c r="H476" s="149" t="str">
        <f t="shared" si="57"/>
        <v/>
      </c>
      <c r="I476" s="198"/>
      <c r="J476" s="198"/>
      <c r="K476" s="198"/>
      <c r="M476" s="144" t="str">
        <f t="shared" si="58"/>
        <v/>
      </c>
      <c r="N476" s="144" t="str">
        <f t="shared" si="59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6"/>
        <v/>
      </c>
      <c r="E477" s="154"/>
      <c r="F477" s="149" t="str">
        <f t="shared" si="55"/>
        <v/>
      </c>
      <c r="G477" s="201"/>
      <c r="H477" s="149" t="str">
        <f t="shared" si="57"/>
        <v/>
      </c>
      <c r="I477" s="198"/>
      <c r="J477" s="198"/>
      <c r="K477" s="198"/>
      <c r="M477" s="144" t="str">
        <f t="shared" si="58"/>
        <v/>
      </c>
      <c r="N477" s="144" t="str">
        <f t="shared" si="59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6"/>
        <v/>
      </c>
      <c r="E478" s="154"/>
      <c r="F478" s="149" t="str">
        <f t="shared" si="55"/>
        <v/>
      </c>
      <c r="G478" s="201"/>
      <c r="H478" s="149" t="str">
        <f t="shared" si="57"/>
        <v/>
      </c>
      <c r="I478" s="198"/>
      <c r="J478" s="198"/>
      <c r="K478" s="198"/>
      <c r="M478" s="144" t="str">
        <f t="shared" si="58"/>
        <v/>
      </c>
      <c r="N478" s="144" t="str">
        <f t="shared" si="59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6"/>
        <v/>
      </c>
      <c r="E479" s="154"/>
      <c r="F479" s="149" t="str">
        <f t="shared" si="55"/>
        <v/>
      </c>
      <c r="G479" s="201"/>
      <c r="H479" s="149" t="str">
        <f t="shared" si="57"/>
        <v/>
      </c>
      <c r="I479" s="198"/>
      <c r="J479" s="198"/>
      <c r="K479" s="198"/>
      <c r="M479" s="144" t="str">
        <f t="shared" si="58"/>
        <v/>
      </c>
      <c r="N479" s="144" t="str">
        <f t="shared" si="59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6"/>
        <v/>
      </c>
      <c r="E480" s="154"/>
      <c r="F480" s="149" t="str">
        <f t="shared" si="55"/>
        <v/>
      </c>
      <c r="G480" s="201"/>
      <c r="H480" s="149" t="str">
        <f t="shared" si="57"/>
        <v/>
      </c>
      <c r="I480" s="198"/>
      <c r="J480" s="198"/>
      <c r="K480" s="198"/>
      <c r="M480" s="144" t="str">
        <f t="shared" si="58"/>
        <v/>
      </c>
      <c r="N480" s="144" t="str">
        <f t="shared" si="59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6"/>
        <v/>
      </c>
      <c r="E481" s="154"/>
      <c r="F481" s="149" t="str">
        <f t="shared" si="55"/>
        <v/>
      </c>
      <c r="G481" s="201"/>
      <c r="H481" s="149" t="str">
        <f t="shared" si="57"/>
        <v/>
      </c>
      <c r="I481" s="198"/>
      <c r="J481" s="198"/>
      <c r="K481" s="198"/>
      <c r="M481" s="144" t="str">
        <f t="shared" si="58"/>
        <v/>
      </c>
      <c r="N481" s="144" t="str">
        <f t="shared" si="59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6"/>
        <v/>
      </c>
      <c r="E482" s="154"/>
      <c r="F482" s="149" t="str">
        <f t="shared" si="55"/>
        <v/>
      </c>
      <c r="G482" s="201"/>
      <c r="H482" s="149" t="str">
        <f t="shared" si="57"/>
        <v/>
      </c>
      <c r="I482" s="198"/>
      <c r="J482" s="198"/>
      <c r="K482" s="198"/>
      <c r="M482" s="144" t="str">
        <f t="shared" si="58"/>
        <v/>
      </c>
      <c r="N482" s="144" t="str">
        <f t="shared" si="59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6"/>
        <v/>
      </c>
      <c r="E483" s="154"/>
      <c r="F483" s="149" t="str">
        <f t="shared" si="55"/>
        <v/>
      </c>
      <c r="G483" s="201"/>
      <c r="H483" s="149" t="str">
        <f t="shared" si="57"/>
        <v/>
      </c>
      <c r="I483" s="198"/>
      <c r="J483" s="198"/>
      <c r="K483" s="198"/>
      <c r="M483" s="144" t="str">
        <f t="shared" si="58"/>
        <v/>
      </c>
      <c r="N483" s="144" t="str">
        <f t="shared" si="59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6"/>
        <v/>
      </c>
      <c r="E484" s="154"/>
      <c r="F484" s="149" t="str">
        <f t="shared" si="55"/>
        <v/>
      </c>
      <c r="G484" s="201"/>
      <c r="H484" s="149" t="str">
        <f t="shared" si="57"/>
        <v/>
      </c>
      <c r="I484" s="198"/>
      <c r="J484" s="198"/>
      <c r="K484" s="198"/>
      <c r="M484" s="144" t="str">
        <f t="shared" si="58"/>
        <v/>
      </c>
      <c r="N484" s="144" t="str">
        <f t="shared" si="59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6"/>
        <v/>
      </c>
      <c r="E485" s="154"/>
      <c r="F485" s="149" t="str">
        <f t="shared" si="55"/>
        <v/>
      </c>
      <c r="G485" s="201"/>
      <c r="H485" s="149" t="str">
        <f t="shared" si="57"/>
        <v/>
      </c>
      <c r="I485" s="198"/>
      <c r="J485" s="198"/>
      <c r="K485" s="198"/>
      <c r="M485" s="144" t="str">
        <f t="shared" si="58"/>
        <v/>
      </c>
      <c r="N485" s="144" t="str">
        <f t="shared" si="59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6"/>
        <v/>
      </c>
      <c r="E486" s="154"/>
      <c r="F486" s="149" t="str">
        <f t="shared" si="55"/>
        <v/>
      </c>
      <c r="G486" s="201"/>
      <c r="H486" s="149" t="str">
        <f t="shared" si="57"/>
        <v/>
      </c>
      <c r="I486" s="198"/>
      <c r="J486" s="198"/>
      <c r="K486" s="198"/>
      <c r="M486" s="144" t="str">
        <f t="shared" si="58"/>
        <v/>
      </c>
      <c r="N486" s="144" t="str">
        <f t="shared" si="59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6"/>
        <v/>
      </c>
      <c r="E487" s="154"/>
      <c r="F487" s="149" t="str">
        <f t="shared" si="55"/>
        <v/>
      </c>
      <c r="G487" s="201"/>
      <c r="H487" s="149" t="str">
        <f t="shared" si="57"/>
        <v/>
      </c>
      <c r="I487" s="198"/>
      <c r="J487" s="198"/>
      <c r="K487" s="198"/>
      <c r="M487" s="144" t="str">
        <f t="shared" si="58"/>
        <v/>
      </c>
      <c r="N487" s="144" t="str">
        <f t="shared" si="59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6"/>
        <v/>
      </c>
      <c r="E488" s="154"/>
      <c r="F488" s="149" t="str">
        <f t="shared" si="55"/>
        <v/>
      </c>
      <c r="G488" s="201"/>
      <c r="H488" s="149" t="str">
        <f t="shared" si="57"/>
        <v/>
      </c>
      <c r="I488" s="198"/>
      <c r="J488" s="198"/>
      <c r="K488" s="198"/>
      <c r="M488" s="144" t="str">
        <f t="shared" si="58"/>
        <v/>
      </c>
      <c r="N488" s="144" t="str">
        <f t="shared" si="59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6"/>
        <v/>
      </c>
      <c r="E489" s="154"/>
      <c r="F489" s="149" t="str">
        <f t="shared" si="55"/>
        <v/>
      </c>
      <c r="G489" s="201"/>
      <c r="H489" s="149" t="str">
        <f t="shared" si="57"/>
        <v/>
      </c>
      <c r="I489" s="198"/>
      <c r="J489" s="198"/>
      <c r="K489" s="198"/>
      <c r="M489" s="144" t="str">
        <f t="shared" si="58"/>
        <v/>
      </c>
      <c r="N489" s="144" t="str">
        <f t="shared" si="59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6"/>
        <v/>
      </c>
      <c r="E490" s="154"/>
      <c r="F490" s="149" t="str">
        <f t="shared" si="55"/>
        <v/>
      </c>
      <c r="G490" s="201"/>
      <c r="H490" s="149" t="str">
        <f t="shared" si="57"/>
        <v/>
      </c>
      <c r="I490" s="198"/>
      <c r="J490" s="198"/>
      <c r="K490" s="198"/>
      <c r="M490" s="144" t="str">
        <f t="shared" si="58"/>
        <v/>
      </c>
      <c r="N490" s="144" t="str">
        <f t="shared" si="59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6"/>
        <v/>
      </c>
      <c r="E491" s="154"/>
      <c r="F491" s="149" t="str">
        <f t="shared" si="55"/>
        <v/>
      </c>
      <c r="G491" s="201"/>
      <c r="H491" s="149" t="str">
        <f t="shared" si="57"/>
        <v/>
      </c>
      <c r="I491" s="198"/>
      <c r="J491" s="198"/>
      <c r="K491" s="198"/>
      <c r="M491" s="144" t="str">
        <f t="shared" si="58"/>
        <v/>
      </c>
      <c r="N491" s="144" t="str">
        <f t="shared" si="59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6"/>
        <v/>
      </c>
      <c r="E492" s="154"/>
      <c r="F492" s="149" t="str">
        <f t="shared" si="55"/>
        <v/>
      </c>
      <c r="G492" s="201"/>
      <c r="H492" s="149" t="str">
        <f t="shared" si="57"/>
        <v/>
      </c>
      <c r="I492" s="198"/>
      <c r="J492" s="198"/>
      <c r="K492" s="198"/>
      <c r="M492" s="144" t="str">
        <f t="shared" si="58"/>
        <v/>
      </c>
      <c r="N492" s="144" t="str">
        <f t="shared" si="59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6"/>
        <v/>
      </c>
      <c r="E493" s="154"/>
      <c r="F493" s="149" t="str">
        <f t="shared" si="55"/>
        <v/>
      </c>
      <c r="G493" s="201"/>
      <c r="H493" s="149" t="str">
        <f t="shared" si="57"/>
        <v/>
      </c>
      <c r="I493" s="198"/>
      <c r="J493" s="198"/>
      <c r="K493" s="198"/>
      <c r="M493" s="144" t="str">
        <f t="shared" si="58"/>
        <v/>
      </c>
      <c r="N493" s="144" t="str">
        <f t="shared" si="59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6"/>
        <v/>
      </c>
      <c r="E494" s="154"/>
      <c r="F494" s="149" t="str">
        <f t="shared" si="55"/>
        <v/>
      </c>
      <c r="G494" s="201"/>
      <c r="H494" s="149" t="str">
        <f t="shared" si="57"/>
        <v/>
      </c>
      <c r="I494" s="198"/>
      <c r="J494" s="198"/>
      <c r="K494" s="198"/>
      <c r="M494" s="144" t="str">
        <f t="shared" si="58"/>
        <v/>
      </c>
      <c r="N494" s="144" t="str">
        <f t="shared" si="59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6"/>
        <v/>
      </c>
      <c r="E495" s="154"/>
      <c r="F495" s="149" t="str">
        <f t="shared" si="55"/>
        <v/>
      </c>
      <c r="G495" s="201"/>
      <c r="H495" s="149" t="str">
        <f t="shared" si="57"/>
        <v/>
      </c>
      <c r="I495" s="198"/>
      <c r="J495" s="198"/>
      <c r="K495" s="198"/>
      <c r="M495" s="144" t="str">
        <f t="shared" si="58"/>
        <v/>
      </c>
      <c r="N495" s="144" t="str">
        <f t="shared" si="59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6"/>
        <v/>
      </c>
      <c r="E496" s="154"/>
      <c r="F496" s="149" t="str">
        <f t="shared" si="55"/>
        <v/>
      </c>
      <c r="G496" s="201"/>
      <c r="H496" s="149" t="str">
        <f t="shared" si="57"/>
        <v/>
      </c>
      <c r="I496" s="198"/>
      <c r="J496" s="198"/>
      <c r="K496" s="198"/>
      <c r="M496" s="144" t="str">
        <f t="shared" si="58"/>
        <v/>
      </c>
      <c r="N496" s="144" t="str">
        <f t="shared" si="59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6"/>
        <v/>
      </c>
      <c r="E497" s="154"/>
      <c r="F497" s="149" t="str">
        <f t="shared" si="55"/>
        <v/>
      </c>
      <c r="G497" s="201"/>
      <c r="H497" s="149" t="str">
        <f t="shared" si="57"/>
        <v/>
      </c>
      <c r="I497" s="198"/>
      <c r="J497" s="198"/>
      <c r="K497" s="198"/>
      <c r="M497" s="144" t="str">
        <f t="shared" si="58"/>
        <v/>
      </c>
      <c r="N497" s="144" t="str">
        <f t="shared" si="59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6"/>
        <v/>
      </c>
      <c r="E498" s="154"/>
      <c r="F498" s="149" t="str">
        <f t="shared" si="55"/>
        <v/>
      </c>
      <c r="G498" s="201"/>
      <c r="H498" s="149" t="str">
        <f t="shared" si="57"/>
        <v/>
      </c>
      <c r="I498" s="198"/>
      <c r="J498" s="198"/>
      <c r="K498" s="198"/>
      <c r="M498" s="144" t="str">
        <f t="shared" si="58"/>
        <v/>
      </c>
      <c r="N498" s="144" t="str">
        <f t="shared" si="59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6"/>
        <v/>
      </c>
      <c r="E499" s="154"/>
      <c r="F499" s="149" t="str">
        <f t="shared" si="55"/>
        <v/>
      </c>
      <c r="G499" s="201"/>
      <c r="H499" s="149" t="str">
        <f t="shared" si="57"/>
        <v/>
      </c>
      <c r="I499" s="198"/>
      <c r="J499" s="198"/>
      <c r="K499" s="198"/>
      <c r="M499" s="144" t="str">
        <f t="shared" si="58"/>
        <v/>
      </c>
      <c r="N499" s="144" t="str">
        <f t="shared" si="59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6"/>
        <v/>
      </c>
      <c r="E500" s="154"/>
      <c r="F500" s="149" t="str">
        <f t="shared" si="55"/>
        <v/>
      </c>
      <c r="G500" s="201"/>
      <c r="H500" s="149" t="str">
        <f t="shared" si="57"/>
        <v/>
      </c>
      <c r="I500" s="198"/>
      <c r="J500" s="198"/>
      <c r="K500" s="198"/>
      <c r="M500" s="144" t="str">
        <f t="shared" si="58"/>
        <v/>
      </c>
      <c r="N500" s="144" t="str">
        <f t="shared" si="59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6"/>
        <v/>
      </c>
      <c r="E501" s="154"/>
      <c r="F501" s="149" t="str">
        <f t="shared" si="55"/>
        <v/>
      </c>
      <c r="G501" s="201"/>
      <c r="H501" s="149" t="str">
        <f t="shared" si="57"/>
        <v/>
      </c>
      <c r="I501" s="198"/>
      <c r="J501" s="198"/>
      <c r="K501" s="198"/>
      <c r="M501" s="144" t="str">
        <f t="shared" si="58"/>
        <v/>
      </c>
      <c r="N501" s="144" t="str">
        <f t="shared" si="59"/>
        <v/>
      </c>
    </row>
    <row r="502" spans="1:14"/>
  </sheetData>
  <sheetProtection selectLockedCells="1"/>
  <sortState ref="R5:U118">
    <sortCondition ref="R5"/>
  </sortState>
  <mergeCells count="1">
    <mergeCell ref="A1:D1"/>
  </mergeCells>
  <dataValidations xWindow="264" yWindow="473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72 I74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23622047244094491" right="0.23622047244094491" top="0.74803149606299213" bottom="0.74803149606299213" header="0.31496062992125984" footer="0.31496062992125984"/>
  <pageSetup paperSize="9" scale="75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Normal="100" workbookViewId="0">
      <pane ySplit="2" topLeftCell="A87" activePane="bottomLeft" state="frozen"/>
      <selection pane="bottomLeft" activeCell="I5" sqref="I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79" t="s">
        <v>290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80" t="s">
        <v>292</v>
      </c>
      <c r="B3" s="281"/>
      <c r="C3" s="282" t="s">
        <v>51</v>
      </c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4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14182000</v>
      </c>
      <c r="D5" s="3">
        <v>0</v>
      </c>
      <c r="E5" s="3">
        <v>0</v>
      </c>
      <c r="F5" s="3">
        <v>50000</v>
      </c>
      <c r="G5" s="3">
        <v>14000000</v>
      </c>
      <c r="H5" s="3">
        <v>82000</v>
      </c>
      <c r="I5" s="3">
        <v>50000</v>
      </c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43166300</v>
      </c>
      <c r="D6" s="15">
        <f t="shared" ref="D6:P6" si="1">+D26+D33</f>
        <v>22553800</v>
      </c>
      <c r="E6" s="15">
        <f t="shared" si="1"/>
        <v>0</v>
      </c>
      <c r="F6" s="15">
        <f t="shared" si="1"/>
        <v>2100000</v>
      </c>
      <c r="G6" s="15">
        <f t="shared" si="1"/>
        <v>16000000</v>
      </c>
      <c r="H6" s="15">
        <f t="shared" si="1"/>
        <v>716000</v>
      </c>
      <c r="I6" s="15">
        <f t="shared" si="1"/>
        <v>1796500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0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-14475000</v>
      </c>
      <c r="D7" s="115">
        <v>0</v>
      </c>
      <c r="E7" s="115">
        <v>0</v>
      </c>
      <c r="F7" s="115">
        <v>-100000</v>
      </c>
      <c r="G7" s="115">
        <v>-14325000</v>
      </c>
      <c r="H7" s="115">
        <v>0</v>
      </c>
      <c r="I7" s="115">
        <v>-50000</v>
      </c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42873300</v>
      </c>
      <c r="D8" s="15">
        <f>+D5+D6+D7</f>
        <v>22553800</v>
      </c>
      <c r="E8" s="15">
        <f t="shared" ref="E8:P8" si="2">+E5+E6+E7</f>
        <v>0</v>
      </c>
      <c r="F8" s="15">
        <f t="shared" si="2"/>
        <v>2050000</v>
      </c>
      <c r="G8" s="15">
        <f t="shared" si="2"/>
        <v>15675000</v>
      </c>
      <c r="H8" s="15">
        <f t="shared" si="2"/>
        <v>798000</v>
      </c>
      <c r="I8" s="15">
        <f t="shared" si="2"/>
        <v>1796500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42873300</v>
      </c>
      <c r="D9" s="138">
        <f>+'PLAN RASHODA I IZDATAKA'!D3</f>
        <v>22553800</v>
      </c>
      <c r="E9" s="138">
        <f>+'PLAN RASHODA I IZDATAKA'!E3</f>
        <v>0</v>
      </c>
      <c r="F9" s="138">
        <f>+'PLAN RASHODA I IZDATAKA'!F3</f>
        <v>2050000</v>
      </c>
      <c r="G9" s="138">
        <f>+'PLAN RASHODA I IZDATAKA'!G3</f>
        <v>15675000</v>
      </c>
      <c r="H9" s="138">
        <f>+'PLAN RASHODA I IZDATAKA'!H3</f>
        <v>798000</v>
      </c>
      <c r="I9" s="138">
        <f>+'PLAN RASHODA I IZDATAKA'!I3</f>
        <v>1796500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716000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716000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957000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957000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839500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839500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16000000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16000000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2100000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2100000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22553800</v>
      </c>
      <c r="D23" s="204">
        <f>SUMIFS('Plan prihoda za unos u SAP'!$G$3:$G$501,'Plan prihoda za unos u SAP'!$C$3:$C$501,"=11",'Plan prihoda za unos u SAP'!$K$3:$K$501,"=671")</f>
        <v>22553800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43166300</v>
      </c>
      <c r="D26" s="4">
        <f t="shared" ref="D26:P26" si="6">SUM(D11:D25)</f>
        <v>22553800</v>
      </c>
      <c r="E26" s="4">
        <f t="shared" si="6"/>
        <v>0</v>
      </c>
      <c r="F26" s="4">
        <f t="shared" si="6"/>
        <v>2100000</v>
      </c>
      <c r="G26" s="4">
        <f t="shared" si="6"/>
        <v>16000000</v>
      </c>
      <c r="H26" s="4">
        <f t="shared" si="6"/>
        <v>716000</v>
      </c>
      <c r="I26" s="4">
        <f t="shared" si="6"/>
        <v>1796500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85" t="s">
        <v>339</v>
      </c>
      <c r="B37" s="285"/>
      <c r="C37" s="72">
        <f>SUM(D37:P37)</f>
        <v>43166300</v>
      </c>
      <c r="D37" s="72">
        <f t="shared" ref="D37:P37" si="9">+D36+D33+D26</f>
        <v>22553800</v>
      </c>
      <c r="E37" s="72">
        <f t="shared" si="9"/>
        <v>0</v>
      </c>
      <c r="F37" s="72">
        <f t="shared" si="9"/>
        <v>2100000</v>
      </c>
      <c r="G37" s="72">
        <f t="shared" si="9"/>
        <v>16000000</v>
      </c>
      <c r="H37" s="72">
        <f t="shared" si="9"/>
        <v>716000</v>
      </c>
      <c r="I37" s="72">
        <f t="shared" si="9"/>
        <v>1796500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0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80" t="s">
        <v>292</v>
      </c>
      <c r="B39" s="281"/>
      <c r="C39" s="282" t="s">
        <v>54</v>
      </c>
      <c r="D39" s="283"/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4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14475000</v>
      </c>
      <c r="D41" s="203">
        <f t="shared" ref="D41:P41" si="11">-D7</f>
        <v>0</v>
      </c>
      <c r="E41" s="203">
        <f t="shared" si="11"/>
        <v>0</v>
      </c>
      <c r="F41" s="203">
        <f t="shared" si="11"/>
        <v>100000</v>
      </c>
      <c r="G41" s="203">
        <f t="shared" si="11"/>
        <v>14325000</v>
      </c>
      <c r="H41" s="203">
        <f t="shared" si="11"/>
        <v>0</v>
      </c>
      <c r="I41" s="203">
        <f t="shared" si="11"/>
        <v>50000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35637000</v>
      </c>
      <c r="D42" s="15">
        <f t="shared" ref="D42:P42" si="12">+D62+D69</f>
        <v>23054000</v>
      </c>
      <c r="E42" s="15">
        <f t="shared" si="12"/>
        <v>0</v>
      </c>
      <c r="F42" s="15">
        <f t="shared" si="12"/>
        <v>2200000</v>
      </c>
      <c r="G42" s="15">
        <f t="shared" si="12"/>
        <v>8900000</v>
      </c>
      <c r="H42" s="15">
        <f t="shared" si="12"/>
        <v>261000</v>
      </c>
      <c r="I42" s="15">
        <f t="shared" si="12"/>
        <v>1222000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-14759000</v>
      </c>
      <c r="D43" s="115">
        <v>0</v>
      </c>
      <c r="E43" s="115"/>
      <c r="F43" s="115">
        <v>-115000</v>
      </c>
      <c r="G43" s="115">
        <v>-14661000</v>
      </c>
      <c r="H43" s="115">
        <v>33000</v>
      </c>
      <c r="I43" s="115">
        <v>-16000</v>
      </c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35353000</v>
      </c>
      <c r="D44" s="15">
        <f>+D41+D42+D43</f>
        <v>23054000</v>
      </c>
      <c r="E44" s="15">
        <f t="shared" ref="E44:P44" si="13">+E41+E42+E43</f>
        <v>0</v>
      </c>
      <c r="F44" s="15">
        <f t="shared" si="13"/>
        <v>2185000</v>
      </c>
      <c r="G44" s="15">
        <f t="shared" si="13"/>
        <v>8564000</v>
      </c>
      <c r="H44" s="15">
        <f t="shared" si="13"/>
        <v>294000</v>
      </c>
      <c r="I44" s="15">
        <f t="shared" si="13"/>
        <v>1256000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35353000</v>
      </c>
      <c r="D45" s="138">
        <f>+'PLAN RASHODA I IZDATAKA'!D71</f>
        <v>23054000</v>
      </c>
      <c r="E45" s="138">
        <f>+'PLAN RASHODA I IZDATAKA'!E71</f>
        <v>0</v>
      </c>
      <c r="F45" s="138">
        <f>+'PLAN RASHODA I IZDATAKA'!F71</f>
        <v>2185000</v>
      </c>
      <c r="G45" s="138">
        <f>+'PLAN RASHODA I IZDATAKA'!G71</f>
        <v>8564000</v>
      </c>
      <c r="H45" s="138">
        <f>+'PLAN RASHODA I IZDATAKA'!H71</f>
        <v>294000</v>
      </c>
      <c r="I45" s="138">
        <f>+'PLAN RASHODA I IZDATAKA'!I71</f>
        <v>1256000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261000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261000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880000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880000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342000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342000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8900000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8900000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2200000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2200000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23054000</v>
      </c>
      <c r="D59" s="204">
        <f>SUMIFS('Plan prihoda za unos u SAP'!$H$3:$H$501,'Plan prihoda za unos u SAP'!$C$3:$C$501,"=11",'Plan prihoda za unos u SAP'!$K$3:$K$501,"=671")</f>
        <v>23054000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35637000</v>
      </c>
      <c r="D62" s="4">
        <f t="shared" ref="D62:P62" si="17">SUM(D47:D61)</f>
        <v>23054000</v>
      </c>
      <c r="E62" s="4">
        <f t="shared" si="17"/>
        <v>0</v>
      </c>
      <c r="F62" s="4">
        <f t="shared" si="17"/>
        <v>2200000</v>
      </c>
      <c r="G62" s="4">
        <f t="shared" si="17"/>
        <v>8900000</v>
      </c>
      <c r="H62" s="4">
        <f t="shared" si="17"/>
        <v>261000</v>
      </c>
      <c r="I62" s="4">
        <f t="shared" si="17"/>
        <v>1222000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85" t="s">
        <v>339</v>
      </c>
      <c r="B73" s="285"/>
      <c r="C73" s="72">
        <f>SUM(D73:P73)</f>
        <v>35637000</v>
      </c>
      <c r="D73" s="72">
        <f t="shared" ref="D73:P73" si="20">+D72+D69+D62</f>
        <v>23054000</v>
      </c>
      <c r="E73" s="72">
        <f t="shared" si="20"/>
        <v>0</v>
      </c>
      <c r="F73" s="72">
        <f t="shared" si="20"/>
        <v>2200000</v>
      </c>
      <c r="G73" s="72">
        <f t="shared" si="20"/>
        <v>8900000</v>
      </c>
      <c r="H73" s="72">
        <f t="shared" si="20"/>
        <v>261000</v>
      </c>
      <c r="I73" s="72">
        <f t="shared" si="20"/>
        <v>1222000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0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80" t="s">
        <v>292</v>
      </c>
      <c r="B75" s="281"/>
      <c r="C75" s="282" t="s">
        <v>840</v>
      </c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4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14759000</v>
      </c>
      <c r="D77" s="203">
        <f t="shared" ref="D77:P77" si="22">-D43</f>
        <v>0</v>
      </c>
      <c r="E77" s="203">
        <f t="shared" si="22"/>
        <v>0</v>
      </c>
      <c r="F77" s="203">
        <f t="shared" si="22"/>
        <v>115000</v>
      </c>
      <c r="G77" s="203">
        <f t="shared" si="22"/>
        <v>14661000</v>
      </c>
      <c r="H77" s="203">
        <f t="shared" si="22"/>
        <v>-33000</v>
      </c>
      <c r="I77" s="203">
        <f t="shared" si="22"/>
        <v>16000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35488000</v>
      </c>
      <c r="D78" s="15">
        <f t="shared" ref="D78:P78" si="23">+D98+D105</f>
        <v>23248000</v>
      </c>
      <c r="E78" s="15">
        <f t="shared" si="23"/>
        <v>0</v>
      </c>
      <c r="F78" s="15">
        <f t="shared" si="23"/>
        <v>2300000</v>
      </c>
      <c r="G78" s="15">
        <f t="shared" si="23"/>
        <v>8900000</v>
      </c>
      <c r="H78" s="15">
        <f t="shared" si="23"/>
        <v>0</v>
      </c>
      <c r="I78" s="15">
        <f t="shared" si="23"/>
        <v>1040000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0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-15004000</v>
      </c>
      <c r="D79" s="115">
        <v>0</v>
      </c>
      <c r="E79" s="115"/>
      <c r="F79" s="115">
        <v>-218000</v>
      </c>
      <c r="G79" s="115">
        <v>-14778000</v>
      </c>
      <c r="H79" s="115">
        <v>33000</v>
      </c>
      <c r="I79" s="115">
        <v>-41000</v>
      </c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35243000</v>
      </c>
      <c r="D80" s="15">
        <f>+D77+D78+D79</f>
        <v>23248000</v>
      </c>
      <c r="E80" s="15">
        <f t="shared" ref="E80:P80" si="24">+E77+E78+E79</f>
        <v>0</v>
      </c>
      <c r="F80" s="15">
        <f t="shared" si="24"/>
        <v>2197000</v>
      </c>
      <c r="G80" s="15">
        <f t="shared" si="24"/>
        <v>8783000</v>
      </c>
      <c r="H80" s="15">
        <f t="shared" si="24"/>
        <v>0</v>
      </c>
      <c r="I80" s="15">
        <f t="shared" si="24"/>
        <v>1015000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35243000</v>
      </c>
      <c r="D81" s="138">
        <f>+'PLAN RASHODA I IZDATAKA'!D91</f>
        <v>23248000</v>
      </c>
      <c r="E81" s="138">
        <f>+'PLAN RASHODA I IZDATAKA'!E91</f>
        <v>0</v>
      </c>
      <c r="F81" s="138">
        <f>+'PLAN RASHODA I IZDATAKA'!F91</f>
        <v>2197000</v>
      </c>
      <c r="G81" s="138">
        <f>+'PLAN RASHODA I IZDATAKA'!G91</f>
        <v>8783000</v>
      </c>
      <c r="H81" s="138">
        <f>+'PLAN RASHODA I IZDATAKA'!H91</f>
        <v>0</v>
      </c>
      <c r="I81" s="138">
        <f>+'PLAN RASHODA I IZDATAKA'!I91</f>
        <v>1015000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738000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738000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302000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302000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8900000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8900000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2300000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2300000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23248000</v>
      </c>
      <c r="D95" s="204">
        <f>SUMIFS('Plan prihoda za unos u SAP'!$I$3:$I$501,'Plan prihoda za unos u SAP'!$C$3:$C$501,"=11",'Plan prihoda za unos u SAP'!$K$3:$K$501,"=671")</f>
        <v>23248000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35488000</v>
      </c>
      <c r="D98" s="4">
        <f t="shared" ref="D98:P98" si="28">SUM(D83:D97)</f>
        <v>23248000</v>
      </c>
      <c r="E98" s="4">
        <f t="shared" si="28"/>
        <v>0</v>
      </c>
      <c r="F98" s="4">
        <f t="shared" si="28"/>
        <v>2300000</v>
      </c>
      <c r="G98" s="4">
        <f t="shared" si="28"/>
        <v>8900000</v>
      </c>
      <c r="H98" s="4">
        <f t="shared" si="28"/>
        <v>0</v>
      </c>
      <c r="I98" s="4">
        <f t="shared" si="28"/>
        <v>1040000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85" t="s">
        <v>339</v>
      </c>
      <c r="B109" s="285"/>
      <c r="C109" s="72">
        <f>SUM(D109:P109)</f>
        <v>35488000</v>
      </c>
      <c r="D109" s="72">
        <f t="shared" ref="D109:P109" si="31">+D108+D105+D98</f>
        <v>23248000</v>
      </c>
      <c r="E109" s="72">
        <f t="shared" si="31"/>
        <v>0</v>
      </c>
      <c r="F109" s="72">
        <f t="shared" si="31"/>
        <v>2300000</v>
      </c>
      <c r="G109" s="72">
        <f t="shared" si="31"/>
        <v>8900000</v>
      </c>
      <c r="H109" s="72">
        <f t="shared" si="31"/>
        <v>0</v>
      </c>
      <c r="I109" s="72">
        <f t="shared" si="31"/>
        <v>1040000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0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75:B75"/>
    <mergeCell ref="C75:P75"/>
    <mergeCell ref="A109:B109"/>
    <mergeCell ref="A39:B39"/>
    <mergeCell ref="C39:P39"/>
    <mergeCell ref="A1:P1"/>
    <mergeCell ref="A3:B3"/>
    <mergeCell ref="C3:P3"/>
    <mergeCell ref="A37:B37"/>
    <mergeCell ref="A73:B73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90" zoomScaleNormal="90" zoomScaleSheetLayoutView="80" workbookViewId="0">
      <pane xSplit="3" ySplit="3" topLeftCell="D112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86" t="s">
        <v>841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42873300</v>
      </c>
      <c r="D3" s="123">
        <f t="shared" ref="D3:P3" si="0">D4+D38+D58</f>
        <v>22553800</v>
      </c>
      <c r="E3" s="123">
        <f t="shared" si="0"/>
        <v>0</v>
      </c>
      <c r="F3" s="123">
        <f t="shared" si="0"/>
        <v>2050000</v>
      </c>
      <c r="G3" s="123">
        <f t="shared" si="0"/>
        <v>15675000</v>
      </c>
      <c r="H3" s="123">
        <f t="shared" si="0"/>
        <v>798000</v>
      </c>
      <c r="I3" s="123">
        <f t="shared" si="0"/>
        <v>1796500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34890800</v>
      </c>
      <c r="D4" s="127">
        <f>D5+D9+D15+D19+D23+D30+D33</f>
        <v>22443800</v>
      </c>
      <c r="E4" s="127">
        <f t="shared" ref="E4:P4" si="1">E5+E9+E15+E19+E23+E30+E33</f>
        <v>0</v>
      </c>
      <c r="F4" s="127">
        <f t="shared" si="1"/>
        <v>2050000</v>
      </c>
      <c r="G4" s="127">
        <f t="shared" si="1"/>
        <v>8480000</v>
      </c>
      <c r="H4" s="127">
        <f t="shared" si="1"/>
        <v>798000</v>
      </c>
      <c r="I4" s="127">
        <f t="shared" si="1"/>
        <v>1119000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25959000</v>
      </c>
      <c r="D5" s="13">
        <f>SUM(D6:D8)</f>
        <v>20013000</v>
      </c>
      <c r="E5" s="13">
        <f t="shared" ref="E5:P5" si="3">SUM(E6:E8)</f>
        <v>0</v>
      </c>
      <c r="F5" s="13">
        <f t="shared" si="3"/>
        <v>301000</v>
      </c>
      <c r="G5" s="13">
        <f t="shared" si="3"/>
        <v>4639000</v>
      </c>
      <c r="H5" s="13">
        <f t="shared" si="3"/>
        <v>490000</v>
      </c>
      <c r="I5" s="13">
        <f t="shared" si="3"/>
        <v>516000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21074300</v>
      </c>
      <c r="D6" s="143">
        <f>SUMIFS('Plan rashoda za unos u SAP'!$I$3:$I$501,'Plan rashoda za unos u SAP'!$C$3:$C$501,"=11",'Plan rashoda za unos u SAP'!$M$3:$M$501,"=311")</f>
        <v>16807300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250000</v>
      </c>
      <c r="G6" s="143">
        <f>SUMIFS('Plan rashoda za unos u SAP'!$I$3:$I$501,'Plan rashoda za unos u SAP'!$C$3:$C$501,"=43",'Plan rashoda za unos u SAP'!$M$3:$M$501,"=311")</f>
        <v>3080000</v>
      </c>
      <c r="H6" s="143">
        <f>SUMIFS('Plan rashoda za unos u SAP'!$I$3:$I$501,'Plan rashoda za unos u SAP'!$C$3:$C$501,"=51",'Plan rashoda za unos u SAP'!$M$3:$M$501,"=311")</f>
        <v>421000</v>
      </c>
      <c r="I6" s="143">
        <f>SUMIFS('Plan rashoda za unos u SAP'!$I$3:$I$501,'Plan rashoda za unos u SAP'!$C$3:$C$501,"=52",'Plan rashoda za unos u SAP'!$M$3:$M$501,"=311")</f>
        <v>516000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1491300</v>
      </c>
      <c r="D7" s="143">
        <f>SUMIFS('Plan rashoda za unos u SAP'!$I$3:$I$501,'Plan rashoda za unos u SAP'!$C$3:$C$501,"=11",'Plan rashoda za unos u SAP'!$M$3:$M$501,"=312")</f>
        <v>431300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10000</v>
      </c>
      <c r="G7" s="143">
        <f>SUMIFS('Plan rashoda za unos u SAP'!$I$3:$I$501,'Plan rashoda za unos u SAP'!$C$3:$C$501,"=43",'Plan rashoda za unos u SAP'!$M$3:$M$501,"=312")</f>
        <v>1050000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3393400</v>
      </c>
      <c r="D8" s="143">
        <f>SUMIFS('Plan rashoda za unos u SAP'!$I$3:$I$501,'Plan rashoda za unos u SAP'!$C$3:$C$501,"=11",'Plan rashoda za unos u SAP'!$M$3:$M$501,"=313")</f>
        <v>2774400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41000</v>
      </c>
      <c r="G8" s="143">
        <f>SUMIFS('Plan rashoda za unos u SAP'!$I$3:$I$501,'Plan rashoda za unos u SAP'!$C$3:$C$501,"=43",'Plan rashoda za unos u SAP'!$M$3:$M$501,"=313")</f>
        <v>509000</v>
      </c>
      <c r="H8" s="143">
        <f>SUMIFS('Plan rashoda za unos u SAP'!$I$3:$I$501,'Plan rashoda za unos u SAP'!$C$3:$C$501,"=51",'Plan rashoda za unos u SAP'!$M$3:$M$501,"=313")</f>
        <v>69000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8859800</v>
      </c>
      <c r="D9" s="79">
        <f t="shared" ref="D9:P9" si="4">SUM(D10:D14)</f>
        <v>2392800</v>
      </c>
      <c r="E9" s="79">
        <f t="shared" si="4"/>
        <v>0</v>
      </c>
      <c r="F9" s="79">
        <f t="shared" si="4"/>
        <v>1736000</v>
      </c>
      <c r="G9" s="79">
        <f t="shared" si="4"/>
        <v>3820000</v>
      </c>
      <c r="H9" s="79">
        <f t="shared" si="4"/>
        <v>308000</v>
      </c>
      <c r="I9" s="79">
        <f t="shared" si="4"/>
        <v>603000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1879900</v>
      </c>
      <c r="D10" s="143">
        <f>SUMIFS('Plan rashoda za unos u SAP'!$I$3:$I$501,'Plan rashoda za unos u SAP'!$C$3:$C$501,"=11",'Plan rashoda za unos u SAP'!$M$3:$M$501,"=321")</f>
        <v>469900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1000</v>
      </c>
      <c r="G10" s="143">
        <f>SUMIFS('Plan rashoda za unos u SAP'!$I$3:$I$501,'Plan rashoda za unos u SAP'!$C$3:$C$501,"=43",'Plan rashoda za unos u SAP'!$M$3:$M$501,"=321")</f>
        <v>1239000</v>
      </c>
      <c r="H10" s="143">
        <f>SUMIFS('Plan rashoda za unos u SAP'!$I$3:$I$501,'Plan rashoda za unos u SAP'!$C$3:$C$501,"=51",'Plan rashoda za unos u SAP'!$M$3:$M$501,"=321")</f>
        <v>71000</v>
      </c>
      <c r="I10" s="143">
        <f>SUMIFS('Plan rashoda za unos u SAP'!$I$3:$I$501,'Plan rashoda za unos u SAP'!$C$3:$C$501,"=52",'Plan rashoda za unos u SAP'!$M$3:$M$501,"=321")</f>
        <v>99000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1214000</v>
      </c>
      <c r="D11" s="143">
        <f>SUMIFS('Plan rashoda za unos u SAP'!$I$3:$I$501,'Plan rashoda za unos u SAP'!$C$3:$C$501,"=11",'Plan rashoda za unos u SAP'!$M$3:$M$501,"=322")</f>
        <v>590000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122000</v>
      </c>
      <c r="G11" s="143">
        <f>SUMIFS('Plan rashoda za unos u SAP'!$I$3:$I$501,'Plan rashoda za unos u SAP'!$C$3:$C$501,"=43",'Plan rashoda za unos u SAP'!$M$3:$M$501,"=322")</f>
        <v>347000</v>
      </c>
      <c r="H11" s="143">
        <f>SUMIFS('Plan rashoda za unos u SAP'!$I$3:$I$501,'Plan rashoda za unos u SAP'!$C$3:$C$501,"=51",'Plan rashoda za unos u SAP'!$M$3:$M$501,"=322")</f>
        <v>72000</v>
      </c>
      <c r="I11" s="143">
        <f>SUMIFS('Plan rashoda za unos u SAP'!$I$3:$I$501,'Plan rashoda za unos u SAP'!$C$3:$C$501,"=52",'Plan rashoda za unos u SAP'!$M$3:$M$501,"=322")</f>
        <v>83000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4587100</v>
      </c>
      <c r="D12" s="143">
        <f>SUMIFS('Plan rashoda za unos u SAP'!$I$3:$I$501,'Plan rashoda za unos u SAP'!$C$3:$C$501,"=11",'Plan rashoda za unos u SAP'!$M$3:$M$501,"=323")</f>
        <v>1234100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1556000</v>
      </c>
      <c r="G12" s="143">
        <f>SUMIFS('Plan rashoda za unos u SAP'!$I$3:$I$501,'Plan rashoda za unos u SAP'!$C$3:$C$501,"=43",'Plan rashoda za unos u SAP'!$M$3:$M$501,"=323")</f>
        <v>1220000</v>
      </c>
      <c r="H12" s="143">
        <f>SUMIFS('Plan rashoda za unos u SAP'!$I$3:$I$501,'Plan rashoda za unos u SAP'!$C$3:$C$501,"=51",'Plan rashoda za unos u SAP'!$M$3:$M$501,"=323")</f>
        <v>165000</v>
      </c>
      <c r="I12" s="143">
        <f>SUMIFS('Plan rashoda za unos u SAP'!$I$3:$I$501,'Plan rashoda za unos u SAP'!$C$3:$C$501,"=52",'Plan rashoda za unos u SAP'!$M$3:$M$501,"=323")</f>
        <v>412000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0</v>
      </c>
      <c r="D13" s="143">
        <f>SUMIFS('Plan rashoda za unos u SAP'!$I$3:$I$501,'Plan rashoda za unos u SAP'!$C$3:$C$501,"=11",'Plan rashoda za unos u SAP'!$M$3:$M$501,"=324")</f>
        <v>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0</v>
      </c>
      <c r="G13" s="143">
        <f>SUMIFS('Plan rashoda za unos u SAP'!$I$3:$I$501,'Plan rashoda za unos u SAP'!$C$3:$C$501,"=43",'Plan rashoda za unos u SAP'!$M$3:$M$501,"=324")</f>
        <v>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1178800</v>
      </c>
      <c r="D14" s="143">
        <f>SUMIFS('Plan rashoda za unos u SAP'!$I$3:$I$501,'Plan rashoda za unos u SAP'!$C$3:$C$501,"=11",'Plan rashoda za unos u SAP'!$M$3:$M$501,"=329")</f>
        <v>98800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57000</v>
      </c>
      <c r="G14" s="143">
        <f>SUMIFS('Plan rashoda za unos u SAP'!$I$3:$I$501,'Plan rashoda za unos u SAP'!$C$3:$C$501,"=43",'Plan rashoda za unos u SAP'!$M$3:$M$501,"=329")</f>
        <v>1014000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9000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42000</v>
      </c>
      <c r="D15" s="4">
        <f t="shared" ref="D15:P15" si="5">SUM(D16:D18)</f>
        <v>38000</v>
      </c>
      <c r="E15" s="4">
        <f t="shared" si="5"/>
        <v>0</v>
      </c>
      <c r="F15" s="4">
        <f t="shared" si="5"/>
        <v>3000</v>
      </c>
      <c r="G15" s="4">
        <f t="shared" si="5"/>
        <v>1000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42000</v>
      </c>
      <c r="D18" s="143">
        <f>SUMIFS('Plan rashoda za unos u SAP'!$I$3:$I$501,'Plan rashoda za unos u SAP'!$C$3:$C$501,"=11",'Plan rashoda za unos u SAP'!$M$3:$M$501,"=343")</f>
        <v>38000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3000</v>
      </c>
      <c r="G18" s="143">
        <f>SUMIFS('Plan rashoda za unos u SAP'!$I$3:$I$501,'Plan rashoda za unos u SAP'!$C$3:$C$501,"=43",'Plan rashoda za unos u SAP'!$M$3:$M$501,"=343")</f>
        <v>1000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20000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20000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20000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20000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10000</v>
      </c>
      <c r="D33" s="4">
        <f t="shared" ref="D33:P33" si="9">SUM(D34:D37)</f>
        <v>0</v>
      </c>
      <c r="E33" s="4">
        <f t="shared" si="9"/>
        <v>0</v>
      </c>
      <c r="F33" s="4">
        <f t="shared" si="9"/>
        <v>10000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10000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10000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7982500</v>
      </c>
      <c r="D38" s="128">
        <f>D42+D49+D51+D53+D39</f>
        <v>110000</v>
      </c>
      <c r="E38" s="128">
        <f t="shared" ref="E38:P38" si="10">E42+E49+E51+E53+E39</f>
        <v>0</v>
      </c>
      <c r="F38" s="128">
        <f t="shared" si="10"/>
        <v>0</v>
      </c>
      <c r="G38" s="128">
        <f t="shared" si="10"/>
        <v>7195000</v>
      </c>
      <c r="H38" s="128">
        <f t="shared" si="10"/>
        <v>0</v>
      </c>
      <c r="I38" s="128">
        <f t="shared" si="10"/>
        <v>677500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2772500</v>
      </c>
      <c r="D42" s="4">
        <f t="shared" ref="D42:P42" si="12">SUM(D43:D48)</f>
        <v>110000</v>
      </c>
      <c r="E42" s="4">
        <f t="shared" si="12"/>
        <v>0</v>
      </c>
      <c r="F42" s="4">
        <f t="shared" si="12"/>
        <v>0</v>
      </c>
      <c r="G42" s="4">
        <f t="shared" si="12"/>
        <v>1985000</v>
      </c>
      <c r="H42" s="4">
        <f t="shared" si="12"/>
        <v>0</v>
      </c>
      <c r="I42" s="4">
        <f t="shared" si="12"/>
        <v>677500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2652500</v>
      </c>
      <c r="D44" s="143">
        <f>SUMIFS('Plan rashoda za unos u SAP'!$I$3:$I$501,'Plan rashoda za unos u SAP'!$C$3:$C$501,"=11",'Plan rashoda za unos u SAP'!$M$3:$M$501,"=422")</f>
        <v>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0</v>
      </c>
      <c r="G44" s="143">
        <f>SUMIFS('Plan rashoda za unos u SAP'!$I$3:$I$501,'Plan rashoda za unos u SAP'!$C$3:$C$501,"=43",'Plan rashoda za unos u SAP'!$M$3:$M$501,"=422")</f>
        <v>1975000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677500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120000</v>
      </c>
      <c r="D46" s="143">
        <f>SUMIFS('Plan rashoda za unos u SAP'!$I$3:$I$501,'Plan rashoda za unos u SAP'!$C$3:$C$501,"=11",'Plan rashoda za unos u SAP'!$M$3:$M$501,"=424")</f>
        <v>110000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10000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5210000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5210000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5210000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5210000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35353000</v>
      </c>
      <c r="D71" s="123">
        <f t="shared" ref="D71:P71" si="21">+D72+D80+D86</f>
        <v>23054000</v>
      </c>
      <c r="E71" s="123">
        <f t="shared" si="21"/>
        <v>0</v>
      </c>
      <c r="F71" s="123">
        <f t="shared" si="21"/>
        <v>2185000</v>
      </c>
      <c r="G71" s="123">
        <f t="shared" si="21"/>
        <v>8564000</v>
      </c>
      <c r="H71" s="123">
        <f t="shared" si="21"/>
        <v>294000</v>
      </c>
      <c r="I71" s="123">
        <f t="shared" si="21"/>
        <v>1256000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34506000</v>
      </c>
      <c r="D72" s="132">
        <f t="shared" ref="D72:P72" si="22">SUM(D73:D79)</f>
        <v>22942000</v>
      </c>
      <c r="E72" s="132">
        <f t="shared" si="22"/>
        <v>0</v>
      </c>
      <c r="F72" s="132">
        <f t="shared" si="22"/>
        <v>2185000</v>
      </c>
      <c r="G72" s="132">
        <f t="shared" si="22"/>
        <v>7829000</v>
      </c>
      <c r="H72" s="132">
        <f t="shared" si="22"/>
        <v>294000</v>
      </c>
      <c r="I72" s="132">
        <f t="shared" si="22"/>
        <v>1256000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26377000</v>
      </c>
      <c r="D73" s="143">
        <f>SUMIFS('Plan rashoda za unos u SAP'!$J$3:$J$501,'Plan rashoda za unos u SAP'!$C$3:$C$501,"=11",'Plan rashoda za unos u SAP'!$N$3:$N$501,"=31")</f>
        <v>20453000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428000</v>
      </c>
      <c r="G73" s="143">
        <f>SUMIFS('Plan rashoda za unos u SAP'!$J$3:$J$501,'Plan rashoda za unos u SAP'!$C$3:$C$501,"=43",'Plan rashoda za unos u SAP'!$N$3:$N$501,"=31")</f>
        <v>4778000</v>
      </c>
      <c r="H73" s="143">
        <f>SUMIFS('Plan rashoda za unos u SAP'!$J$3:$J$501,'Plan rashoda za unos u SAP'!$C$3:$C$501,"=51",'Plan rashoda za unos u SAP'!$N$3:$N$501,"=31")</f>
        <v>202000</v>
      </c>
      <c r="I73" s="143">
        <f>SUMIFS('Plan rashoda za unos u SAP'!$J$3:$J$501,'Plan rashoda za unos u SAP'!$C$3:$C$501,"=52",'Plan rashoda za unos u SAP'!$N$3:$N$501,"=31")</f>
        <v>516000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8056000</v>
      </c>
      <c r="D74" s="143">
        <f>SUMIFS('Plan rashoda za unos u SAP'!$J$3:$J$501,'Plan rashoda za unos u SAP'!$C$3:$C$501,"=11",'Plan rashoda za unos u SAP'!$N$3:$N$501,"=32")</f>
        <v>2450000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1744000</v>
      </c>
      <c r="G74" s="143">
        <f>SUMIFS('Plan rashoda za unos u SAP'!$J$3:$J$501,'Plan rashoda za unos u SAP'!$C$3:$C$501,"=43",'Plan rashoda za unos u SAP'!$N$3:$N$501,"=32")</f>
        <v>3030000</v>
      </c>
      <c r="H74" s="143">
        <f>SUMIFS('Plan rashoda za unos u SAP'!$J$3:$J$501,'Plan rashoda za unos u SAP'!$C$3:$C$501,"=51",'Plan rashoda za unos u SAP'!$N$3:$N$501,"=32")</f>
        <v>92000</v>
      </c>
      <c r="I74" s="143">
        <f>SUMIFS('Plan rashoda za unos u SAP'!$J$3:$J$501,'Plan rashoda za unos u SAP'!$C$3:$C$501,"=52",'Plan rashoda za unos u SAP'!$N$3:$N$501,"=32")</f>
        <v>740000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43000</v>
      </c>
      <c r="D75" s="143">
        <f>SUMIFS('Plan rashoda za unos u SAP'!$J$3:$J$501,'Plan rashoda za unos u SAP'!$C$3:$C$501,"=11",'Plan rashoda za unos u SAP'!$N$3:$N$501,"=34")</f>
        <v>39000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3000</v>
      </c>
      <c r="G75" s="143">
        <f>SUMIFS('Plan rashoda za unos u SAP'!$J$3:$J$501,'Plan rashoda za unos u SAP'!$C$3:$C$501,"=43",'Plan rashoda za unos u SAP'!$N$3:$N$501,"=34")</f>
        <v>1000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20000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20000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10000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10000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847000</v>
      </c>
      <c r="D80" s="133">
        <f t="shared" ref="D80:P80" si="24">SUM(D81:D85)</f>
        <v>112000</v>
      </c>
      <c r="E80" s="133">
        <f t="shared" si="24"/>
        <v>0</v>
      </c>
      <c r="F80" s="133">
        <f t="shared" si="24"/>
        <v>0</v>
      </c>
      <c r="G80" s="133">
        <f t="shared" si="24"/>
        <v>735000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447000</v>
      </c>
      <c r="D82" s="143">
        <f>SUMIFS('Plan rashoda za unos u SAP'!$J$3:$J$501,'Plan rashoda za unos u SAP'!$C$3:$C$501,"=11",'Plan rashoda za unos u SAP'!$N$3:$N$501,"=42")</f>
        <v>112000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0</v>
      </c>
      <c r="G82" s="143">
        <f>SUMIFS('Plan rashoda za unos u SAP'!$J$3:$J$501,'Plan rashoda za unos u SAP'!$C$3:$C$501,"=43",'Plan rashoda za unos u SAP'!$N$3:$N$501,"=42")</f>
        <v>335000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400000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400000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35243000</v>
      </c>
      <c r="D91" s="123">
        <f t="shared" ref="D91:P91" si="27">D92+D100+D106</f>
        <v>23248000</v>
      </c>
      <c r="E91" s="123">
        <f t="shared" si="27"/>
        <v>0</v>
      </c>
      <c r="F91" s="123">
        <f t="shared" si="27"/>
        <v>2197000</v>
      </c>
      <c r="G91" s="123">
        <f t="shared" si="27"/>
        <v>8783000</v>
      </c>
      <c r="H91" s="123">
        <f t="shared" si="27"/>
        <v>0</v>
      </c>
      <c r="I91" s="123">
        <f t="shared" si="27"/>
        <v>1015000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34274000</v>
      </c>
      <c r="D92" s="132">
        <f t="shared" ref="D92:P92" si="28">SUM(D93:D99)</f>
        <v>23135000</v>
      </c>
      <c r="E92" s="132">
        <f t="shared" si="28"/>
        <v>0</v>
      </c>
      <c r="F92" s="132">
        <f t="shared" si="28"/>
        <v>2197000</v>
      </c>
      <c r="G92" s="132">
        <f t="shared" si="28"/>
        <v>7927000</v>
      </c>
      <c r="H92" s="132">
        <f t="shared" si="28"/>
        <v>0</v>
      </c>
      <c r="I92" s="132">
        <f t="shared" si="28"/>
        <v>1015000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26507000</v>
      </c>
      <c r="D93" s="143">
        <f>SUMIFS('Plan rashoda za unos u SAP'!$K$3:$K$501,'Plan rashoda za unos u SAP'!$C$3:$C$501,"=11",'Plan rashoda za unos u SAP'!$N$3:$N$501,"=31")</f>
        <v>20640000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430000</v>
      </c>
      <c r="G93" s="143">
        <f>SUMIFS('Plan rashoda za unos u SAP'!$K$3:$K$501,'Plan rashoda za unos u SAP'!$C$3:$C$501,"=43",'Plan rashoda za unos u SAP'!$N$3:$N$501,"=31")</f>
        <v>4953000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484000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7693000</v>
      </c>
      <c r="D94" s="143">
        <f>SUMIFS('Plan rashoda za unos u SAP'!$K$3:$K$501,'Plan rashoda za unos u SAP'!$C$3:$C$501,"=11",'Plan rashoda za unos u SAP'!$N$3:$N$501,"=32")</f>
        <v>2456000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1753000</v>
      </c>
      <c r="G94" s="143">
        <f>SUMIFS('Plan rashoda za unos u SAP'!$K$3:$K$501,'Plan rashoda za unos u SAP'!$C$3:$C$501,"=43",'Plan rashoda za unos u SAP'!$N$3:$N$501,"=32")</f>
        <v>2953000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531000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44000</v>
      </c>
      <c r="D95" s="143">
        <f>SUMIFS('Plan rashoda za unos u SAP'!$K$3:$K$501,'Plan rashoda za unos u SAP'!$C$3:$C$501,"=11",'Plan rashoda za unos u SAP'!$N$3:$N$501,"=34")</f>
        <v>39000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4000</v>
      </c>
      <c r="G95" s="143">
        <f>SUMIFS('Plan rashoda za unos u SAP'!$K$3:$K$501,'Plan rashoda za unos u SAP'!$C$3:$C$501,"=43",'Plan rashoda za unos u SAP'!$N$3:$N$501,"=34")</f>
        <v>1000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20000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20000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10000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10000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969000</v>
      </c>
      <c r="D100" s="133">
        <f t="shared" ref="D100:P100" si="30">SUM(D101:D105)</f>
        <v>113000</v>
      </c>
      <c r="E100" s="133">
        <f t="shared" si="30"/>
        <v>0</v>
      </c>
      <c r="F100" s="133">
        <f t="shared" si="30"/>
        <v>0</v>
      </c>
      <c r="G100" s="133">
        <f t="shared" si="30"/>
        <v>856000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569000</v>
      </c>
      <c r="D102" s="143">
        <f>SUMIFS('Plan rashoda za unos u SAP'!$K$3:$K$501,'Plan rashoda za unos u SAP'!$C$3:$C$501,"=11",'Plan rashoda za unos u SAP'!$N$3:$N$501,"=42")</f>
        <v>113000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0</v>
      </c>
      <c r="G102" s="143">
        <f>SUMIFS('Plan rashoda za unos u SAP'!$K$3:$K$501,'Plan rashoda za unos u SAP'!$C$3:$C$501,"=43",'Plan rashoda za unos u SAP'!$N$3:$N$501,"=42")</f>
        <v>456000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400000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400000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4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B9" sqref="B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89" t="s">
        <v>240</v>
      </c>
      <c r="B10" s="291" t="s">
        <v>241</v>
      </c>
      <c r="C10" s="291" t="s">
        <v>242</v>
      </c>
      <c r="D10" s="294" t="s">
        <v>243</v>
      </c>
      <c r="E10" s="287" t="s">
        <v>853</v>
      </c>
      <c r="F10" s="287" t="s">
        <v>244</v>
      </c>
      <c r="G10" s="287" t="s">
        <v>245</v>
      </c>
      <c r="H10" s="287" t="s">
        <v>854</v>
      </c>
    </row>
    <row r="11" spans="1:8" ht="15.75" thickBot="1">
      <c r="A11" s="290"/>
      <c r="B11" s="292"/>
      <c r="C11" s="293"/>
      <c r="D11" s="295"/>
      <c r="E11" s="296"/>
      <c r="F11" s="288"/>
      <c r="G11" s="288"/>
      <c r="H11" s="288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topLeftCell="C1" zoomScaleNormal="100" workbookViewId="0">
      <pane ySplit="2" topLeftCell="A3" activePane="bottomLeft" state="frozen"/>
      <selection pane="bottomLeft" activeCell="E15" sqref="E15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97" t="s">
        <v>855</v>
      </c>
      <c r="B1" s="297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51</v>
      </c>
      <c r="B3" s="149" t="str">
        <f>IFERROR(VLOOKUP(A3,$R$6:$S$16,2,FALSE),"")</f>
        <v>Pomoći EU</v>
      </c>
      <c r="C3" s="154">
        <v>3111</v>
      </c>
      <c r="D3" s="149" t="str">
        <f t="shared" ref="D3:D66" si="0">IFERROR(VLOOKUP(C3,$U$5:$W$129,2,FALSE),"")</f>
        <v>Plaće za redovan rad</v>
      </c>
      <c r="E3" s="255" t="s">
        <v>914</v>
      </c>
      <c r="F3" s="149" t="str">
        <f>IFERROR(VLOOKUP(E3,$AA$6:$AB$200,2,FALSE),"")</f>
        <v>NOVI PODPROJEKT</v>
      </c>
      <c r="G3" s="198">
        <v>6000</v>
      </c>
      <c r="H3" s="198">
        <v>0</v>
      </c>
      <c r="I3" s="198"/>
      <c r="J3" s="256" t="s">
        <v>1684</v>
      </c>
      <c r="K3" s="259" t="s">
        <v>1695</v>
      </c>
      <c r="L3" s="259" t="s">
        <v>1696</v>
      </c>
      <c r="M3" s="226" t="s">
        <v>1688</v>
      </c>
      <c r="N3" s="252"/>
      <c r="P3" s="144" t="str">
        <f>LEFT(C3,3)</f>
        <v>311</v>
      </c>
      <c r="Q3" s="144" t="str">
        <f>LEFT(C3,2)</f>
        <v>31</v>
      </c>
    </row>
    <row r="4" spans="1:28">
      <c r="A4" s="154">
        <v>51</v>
      </c>
      <c r="B4" s="149" t="str">
        <f t="shared" ref="B4:B67" si="1">IFERROR(VLOOKUP(A4,$R$6:$S$16,2,FALSE),"")</f>
        <v>Pomoći EU</v>
      </c>
      <c r="C4" s="154">
        <v>3132</v>
      </c>
      <c r="D4" s="149" t="str">
        <f t="shared" si="0"/>
        <v>Doprinosi za obvezno zdravstveno osiguranje</v>
      </c>
      <c r="E4" s="255" t="s">
        <v>914</v>
      </c>
      <c r="F4" s="149" t="str">
        <f t="shared" ref="F4:F67" si="2">IFERROR(VLOOKUP(E4,$AA$6:$AB$200,2,FALSE),"")</f>
        <v>NOVI PODPROJEKT</v>
      </c>
      <c r="G4" s="198">
        <v>1000</v>
      </c>
      <c r="H4" s="198">
        <v>0</v>
      </c>
      <c r="I4" s="198"/>
      <c r="J4" s="256" t="s">
        <v>1677</v>
      </c>
      <c r="K4" s="259"/>
      <c r="L4" s="259"/>
      <c r="M4" s="226"/>
      <c r="N4" s="226" t="s">
        <v>1689</v>
      </c>
      <c r="P4" s="144" t="str">
        <f t="shared" ref="P4:P67" si="3">LEFT(C4,3)</f>
        <v>313</v>
      </c>
      <c r="Q4" s="144" t="str">
        <f t="shared" ref="Q4:Q67" si="4">LEFT(C4,2)</f>
        <v>31</v>
      </c>
      <c r="U4" s="150"/>
      <c r="V4" s="150"/>
    </row>
    <row r="5" spans="1:28">
      <c r="A5" s="154">
        <v>51</v>
      </c>
      <c r="B5" s="149" t="str">
        <f t="shared" si="1"/>
        <v>Pomoći EU</v>
      </c>
      <c r="C5" s="154">
        <v>3211</v>
      </c>
      <c r="D5" s="149" t="str">
        <f t="shared" si="0"/>
        <v>Službena putovanja</v>
      </c>
      <c r="E5" s="255" t="s">
        <v>914</v>
      </c>
      <c r="F5" s="149" t="str">
        <f t="shared" si="2"/>
        <v>NOVI PODPROJEKT</v>
      </c>
      <c r="G5" s="198">
        <v>4000</v>
      </c>
      <c r="H5" s="198">
        <v>0</v>
      </c>
      <c r="I5" s="198"/>
      <c r="J5" s="256" t="s">
        <v>1677</v>
      </c>
      <c r="K5" s="259"/>
      <c r="L5" s="259"/>
      <c r="M5" s="226"/>
      <c r="N5" s="226" t="s">
        <v>1690</v>
      </c>
      <c r="P5" s="144" t="str">
        <f t="shared" si="3"/>
        <v>321</v>
      </c>
      <c r="Q5" s="144" t="str">
        <f t="shared" si="4"/>
        <v>32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51</v>
      </c>
      <c r="B6" s="149" t="str">
        <f t="shared" si="1"/>
        <v>Pomoći EU</v>
      </c>
      <c r="C6" s="154">
        <v>3111</v>
      </c>
      <c r="D6" s="149" t="str">
        <f t="shared" si="0"/>
        <v>Plaće za redovan rad</v>
      </c>
      <c r="E6" s="255" t="s">
        <v>914</v>
      </c>
      <c r="F6" s="149" t="str">
        <f t="shared" si="2"/>
        <v>NOVI PODPROJEKT</v>
      </c>
      <c r="G6" s="198">
        <f>108000+55000</f>
        <v>163000</v>
      </c>
      <c r="H6" s="198">
        <f>17000+22000</f>
        <v>39000</v>
      </c>
      <c r="I6" s="198"/>
      <c r="J6" s="256" t="s">
        <v>1686</v>
      </c>
      <c r="K6" s="259" t="s">
        <v>1694</v>
      </c>
      <c r="L6" s="259" t="s">
        <v>1693</v>
      </c>
      <c r="M6" s="226" t="s">
        <v>1685</v>
      </c>
      <c r="N6" s="226" t="s">
        <v>1691</v>
      </c>
      <c r="P6" s="144" t="str">
        <f t="shared" si="3"/>
        <v>311</v>
      </c>
      <c r="Q6" s="144" t="str">
        <f t="shared" si="4"/>
        <v>31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>
        <v>51</v>
      </c>
      <c r="B7" s="149" t="str">
        <f t="shared" si="1"/>
        <v>Pomoći EU</v>
      </c>
      <c r="C7" s="154">
        <v>3132</v>
      </c>
      <c r="D7" s="149" t="str">
        <f t="shared" si="0"/>
        <v>Doprinosi za obvezno zdravstveno osiguranje</v>
      </c>
      <c r="E7" s="255" t="s">
        <v>914</v>
      </c>
      <c r="F7" s="149" t="str">
        <f t="shared" si="2"/>
        <v>NOVI PODPROJEKT</v>
      </c>
      <c r="G7" s="198">
        <f>19000+9000</f>
        <v>28000</v>
      </c>
      <c r="H7" s="198">
        <f>3000+4000</f>
        <v>7000</v>
      </c>
      <c r="I7" s="198"/>
      <c r="J7" s="256" t="s">
        <v>1686</v>
      </c>
      <c r="K7" s="225"/>
      <c r="L7" s="225"/>
      <c r="M7" s="226"/>
      <c r="N7" s="226" t="s">
        <v>1698</v>
      </c>
      <c r="P7" s="144" t="str">
        <f t="shared" si="3"/>
        <v>313</v>
      </c>
      <c r="Q7" s="144" t="str">
        <f t="shared" si="4"/>
        <v>31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>
        <v>51</v>
      </c>
      <c r="B8" s="149" t="str">
        <f t="shared" si="1"/>
        <v>Pomoći EU</v>
      </c>
      <c r="C8" s="154">
        <v>3211</v>
      </c>
      <c r="D8" s="149" t="str">
        <f t="shared" si="0"/>
        <v>Službena putovanja</v>
      </c>
      <c r="E8" s="255" t="s">
        <v>914</v>
      </c>
      <c r="F8" s="149" t="str">
        <f t="shared" si="2"/>
        <v>NOVI PODPROJEKT</v>
      </c>
      <c r="G8" s="198">
        <f>18000+9000</f>
        <v>27000</v>
      </c>
      <c r="H8" s="198">
        <f>1000+3000</f>
        <v>4000</v>
      </c>
      <c r="I8" s="198"/>
      <c r="J8" s="256" t="s">
        <v>1686</v>
      </c>
      <c r="K8" s="225"/>
      <c r="L8" s="225"/>
      <c r="M8" s="226"/>
      <c r="N8" s="226" t="s">
        <v>1699</v>
      </c>
      <c r="P8" s="144" t="str">
        <f t="shared" si="3"/>
        <v>321</v>
      </c>
      <c r="Q8" s="144" t="str">
        <f t="shared" si="4"/>
        <v>32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>
        <v>51</v>
      </c>
      <c r="B9" s="149" t="str">
        <f t="shared" si="1"/>
        <v>Pomoći EU</v>
      </c>
      <c r="C9" s="154">
        <v>3221</v>
      </c>
      <c r="D9" s="149" t="str">
        <f t="shared" si="0"/>
        <v>Uredski materijal i ostali materijalni rashodi</v>
      </c>
      <c r="E9" s="255" t="s">
        <v>914</v>
      </c>
      <c r="F9" s="149" t="str">
        <f t="shared" si="2"/>
        <v>NOVI PODPROJEKT</v>
      </c>
      <c r="G9" s="198">
        <f>19000+9000</f>
        <v>28000</v>
      </c>
      <c r="H9" s="198">
        <f>3000+4000</f>
        <v>7000</v>
      </c>
      <c r="I9" s="198"/>
      <c r="J9" s="256" t="s">
        <v>1686</v>
      </c>
      <c r="K9" s="225"/>
      <c r="L9" s="225"/>
      <c r="M9" s="226"/>
      <c r="N9" s="226" t="s">
        <v>1714</v>
      </c>
      <c r="P9" s="144" t="str">
        <f t="shared" si="3"/>
        <v>322</v>
      </c>
      <c r="Q9" s="144" t="str">
        <f t="shared" si="4"/>
        <v>32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>
        <v>51</v>
      </c>
      <c r="B10" s="149" t="str">
        <f t="shared" si="1"/>
        <v>Pomoći EU</v>
      </c>
      <c r="C10" s="154">
        <v>3239</v>
      </c>
      <c r="D10" s="149" t="str">
        <f t="shared" si="0"/>
        <v>Ostale usluge</v>
      </c>
      <c r="E10" s="255" t="s">
        <v>914</v>
      </c>
      <c r="F10" s="149" t="str">
        <f t="shared" si="2"/>
        <v>NOVI PODPROJEKT</v>
      </c>
      <c r="G10" s="198">
        <v>33000</v>
      </c>
      <c r="H10" s="198">
        <v>37000</v>
      </c>
      <c r="I10" s="198"/>
      <c r="J10" s="256" t="s">
        <v>1686</v>
      </c>
      <c r="K10" s="225"/>
      <c r="L10" s="225"/>
      <c r="M10" s="226"/>
      <c r="N10" s="226" t="s">
        <v>1715</v>
      </c>
      <c r="P10" s="144" t="str">
        <f t="shared" si="3"/>
        <v>323</v>
      </c>
      <c r="Q10" s="144" t="str">
        <f t="shared" si="4"/>
        <v>32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>
        <v>51</v>
      </c>
      <c r="B11" s="149" t="str">
        <f t="shared" si="1"/>
        <v>Pomoći EU</v>
      </c>
      <c r="C11" s="154">
        <v>3111</v>
      </c>
      <c r="D11" s="149" t="str">
        <f t="shared" si="0"/>
        <v>Plaće za redovan rad</v>
      </c>
      <c r="E11" s="255" t="s">
        <v>914</v>
      </c>
      <c r="F11" s="149" t="str">
        <f t="shared" si="2"/>
        <v>NOVI PODPROJEKT</v>
      </c>
      <c r="G11" s="198">
        <v>253000</v>
      </c>
      <c r="H11" s="198">
        <v>134000</v>
      </c>
      <c r="I11" s="198"/>
      <c r="J11" s="256" t="s">
        <v>1687</v>
      </c>
      <c r="K11" s="259" t="s">
        <v>1692</v>
      </c>
      <c r="L11" s="259" t="s">
        <v>1693</v>
      </c>
      <c r="M11" s="226" t="s">
        <v>1700</v>
      </c>
      <c r="N11" s="226" t="s">
        <v>1701</v>
      </c>
      <c r="P11" s="144" t="str">
        <f t="shared" si="3"/>
        <v>311</v>
      </c>
      <c r="Q11" s="144" t="str">
        <f t="shared" si="4"/>
        <v>31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>
        <v>51</v>
      </c>
      <c r="B12" s="149" t="str">
        <f t="shared" si="1"/>
        <v>Pomoći EU</v>
      </c>
      <c r="C12" s="154">
        <v>3132</v>
      </c>
      <c r="D12" s="149" t="str">
        <f t="shared" si="0"/>
        <v>Doprinosi za obvezno zdravstveno osiguranje</v>
      </c>
      <c r="E12" s="255" t="s">
        <v>914</v>
      </c>
      <c r="F12" s="149" t="str">
        <f t="shared" si="2"/>
        <v>NOVI PODPROJEKT</v>
      </c>
      <c r="G12" s="198">
        <v>41000</v>
      </c>
      <c r="H12" s="198">
        <v>22000</v>
      </c>
      <c r="I12" s="198"/>
      <c r="J12" s="256" t="s">
        <v>1687</v>
      </c>
      <c r="K12" s="225"/>
      <c r="L12" s="225"/>
      <c r="M12" s="226"/>
      <c r="N12" s="226" t="s">
        <v>1702</v>
      </c>
      <c r="P12" s="144" t="str">
        <f t="shared" si="3"/>
        <v>313</v>
      </c>
      <c r="Q12" s="144" t="str">
        <f t="shared" si="4"/>
        <v>31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>
        <v>51</v>
      </c>
      <c r="B13" s="149" t="str">
        <f t="shared" si="1"/>
        <v>Pomoći EU</v>
      </c>
      <c r="C13" s="154">
        <v>3211</v>
      </c>
      <c r="D13" s="149" t="str">
        <f t="shared" si="0"/>
        <v>Službena putovanja</v>
      </c>
      <c r="E13" s="255" t="s">
        <v>914</v>
      </c>
      <c r="F13" s="149" t="str">
        <f t="shared" si="2"/>
        <v>NOVI PODPROJEKT</v>
      </c>
      <c r="G13" s="198">
        <v>40000</v>
      </c>
      <c r="H13" s="198">
        <v>24000</v>
      </c>
      <c r="I13" s="198"/>
      <c r="J13" s="256" t="s">
        <v>1687</v>
      </c>
      <c r="K13" s="225"/>
      <c r="L13" s="225"/>
      <c r="M13" s="226"/>
      <c r="N13" s="226" t="s">
        <v>1703</v>
      </c>
      <c r="P13" s="144" t="str">
        <f t="shared" si="3"/>
        <v>321</v>
      </c>
      <c r="Q13" s="144" t="str">
        <f t="shared" si="4"/>
        <v>32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>
        <v>51</v>
      </c>
      <c r="B14" s="149" t="str">
        <f t="shared" si="1"/>
        <v>Pomoći EU</v>
      </c>
      <c r="C14" s="154">
        <v>3221</v>
      </c>
      <c r="D14" s="149" t="str">
        <f t="shared" si="0"/>
        <v>Uredski materijal i ostali materijalni rashodi</v>
      </c>
      <c r="E14" s="255" t="s">
        <v>914</v>
      </c>
      <c r="F14" s="149" t="str">
        <f t="shared" si="2"/>
        <v>NOVI PODPROJEKT</v>
      </c>
      <c r="G14" s="198">
        <v>44000</v>
      </c>
      <c r="H14" s="198">
        <v>20000</v>
      </c>
      <c r="I14" s="198"/>
      <c r="J14" s="256" t="s">
        <v>1687</v>
      </c>
      <c r="K14" s="225"/>
      <c r="L14" s="225"/>
      <c r="M14" s="226"/>
      <c r="N14" s="226" t="s">
        <v>1704</v>
      </c>
      <c r="P14" s="144" t="str">
        <f t="shared" si="3"/>
        <v>322</v>
      </c>
      <c r="Q14" s="144" t="str">
        <f t="shared" si="4"/>
        <v>32</v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>
        <v>51</v>
      </c>
      <c r="B15" s="149" t="str">
        <f t="shared" si="1"/>
        <v>Pomoći EU</v>
      </c>
      <c r="C15" s="154">
        <v>3239</v>
      </c>
      <c r="D15" s="149" t="str">
        <f t="shared" si="0"/>
        <v>Ostale usluge</v>
      </c>
      <c r="E15" s="255" t="s">
        <v>914</v>
      </c>
      <c r="F15" s="149" t="str">
        <f t="shared" si="2"/>
        <v>NOVI PODPROJEKT</v>
      </c>
      <c r="G15" s="198">
        <v>130000</v>
      </c>
      <c r="H15" s="198"/>
      <c r="I15" s="198"/>
      <c r="J15" s="256" t="s">
        <v>1687</v>
      </c>
      <c r="K15" s="225"/>
      <c r="L15" s="225"/>
      <c r="M15" s="226"/>
      <c r="N15" s="226" t="s">
        <v>1705</v>
      </c>
      <c r="P15" s="144" t="str">
        <f t="shared" si="3"/>
        <v>323</v>
      </c>
      <c r="Q15" s="144" t="str">
        <f t="shared" si="4"/>
        <v>32</v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>
        <v>52</v>
      </c>
      <c r="B16" s="149" t="str">
        <f t="shared" si="1"/>
        <v>Ostale pomoći</v>
      </c>
      <c r="C16" s="154">
        <v>3111</v>
      </c>
      <c r="D16" s="149" t="str">
        <f t="shared" si="0"/>
        <v>Plaće za redovan rad</v>
      </c>
      <c r="E16" s="201" t="s">
        <v>914</v>
      </c>
      <c r="F16" s="149" t="str">
        <f t="shared" si="2"/>
        <v>NOVI PODPROJEKT</v>
      </c>
      <c r="G16" s="198">
        <v>516000</v>
      </c>
      <c r="H16" s="198">
        <v>516000</v>
      </c>
      <c r="I16" s="198">
        <v>484000</v>
      </c>
      <c r="J16" s="226" t="s">
        <v>1708</v>
      </c>
      <c r="K16" s="259" t="s">
        <v>1692</v>
      </c>
      <c r="L16" s="259" t="s">
        <v>1697</v>
      </c>
      <c r="M16" s="226" t="s">
        <v>1709</v>
      </c>
      <c r="N16" s="226" t="s">
        <v>1710</v>
      </c>
      <c r="P16" s="144" t="str">
        <f t="shared" si="3"/>
        <v>311</v>
      </c>
      <c r="Q16" s="144" t="str">
        <f t="shared" si="4"/>
        <v>31</v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>
        <v>52</v>
      </c>
      <c r="B17" s="149" t="str">
        <f t="shared" si="1"/>
        <v>Ostale pomoći</v>
      </c>
      <c r="C17" s="154">
        <v>3211</v>
      </c>
      <c r="D17" s="149" t="str">
        <f t="shared" si="0"/>
        <v>Službena putovanja</v>
      </c>
      <c r="E17" s="201" t="s">
        <v>914</v>
      </c>
      <c r="F17" s="149" t="str">
        <f t="shared" si="2"/>
        <v>NOVI PODPROJEKT</v>
      </c>
      <c r="G17" s="198">
        <v>5000</v>
      </c>
      <c r="H17" s="198">
        <v>42000</v>
      </c>
      <c r="I17" s="198">
        <v>42000</v>
      </c>
      <c r="J17" s="226" t="s">
        <v>1708</v>
      </c>
      <c r="K17" s="225"/>
      <c r="L17" s="225"/>
      <c r="M17" s="226" t="s">
        <v>1706</v>
      </c>
      <c r="N17" s="226" t="s">
        <v>1711</v>
      </c>
      <c r="P17" s="144" t="str">
        <f t="shared" si="3"/>
        <v>321</v>
      </c>
      <c r="Q17" s="144" t="str">
        <f t="shared" si="4"/>
        <v>32</v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>
        <v>52</v>
      </c>
      <c r="B18" s="149" t="str">
        <f t="shared" si="1"/>
        <v>Ostale pomoći</v>
      </c>
      <c r="C18" s="154">
        <v>3221</v>
      </c>
      <c r="D18" s="149" t="str">
        <f t="shared" si="0"/>
        <v>Uredski materijal i ostali materijalni rashodi</v>
      </c>
      <c r="E18" s="201" t="s">
        <v>914</v>
      </c>
      <c r="F18" s="149" t="str">
        <f t="shared" si="2"/>
        <v>NOVI PODPROJEKT</v>
      </c>
      <c r="G18" s="198">
        <v>77000</v>
      </c>
      <c r="H18" s="198">
        <v>77000</v>
      </c>
      <c r="I18" s="198">
        <v>73000</v>
      </c>
      <c r="J18" s="226" t="s">
        <v>1708</v>
      </c>
      <c r="K18" s="225"/>
      <c r="L18" s="225"/>
      <c r="M18" s="226" t="s">
        <v>1707</v>
      </c>
      <c r="N18" s="226" t="s">
        <v>1712</v>
      </c>
      <c r="P18" s="144" t="str">
        <f t="shared" si="3"/>
        <v>322</v>
      </c>
      <c r="Q18" s="144" t="str">
        <f t="shared" si="4"/>
        <v>32</v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>
        <v>52</v>
      </c>
      <c r="B19" s="149" t="str">
        <f t="shared" si="1"/>
        <v>Ostale pomoći</v>
      </c>
      <c r="C19" s="154">
        <v>3237</v>
      </c>
      <c r="D19" s="149" t="str">
        <f t="shared" si="0"/>
        <v>Intelektualne i osobne usluge</v>
      </c>
      <c r="E19" s="201" t="s">
        <v>914</v>
      </c>
      <c r="F19" s="149" t="str">
        <f t="shared" si="2"/>
        <v>NOVI PODPROJEKT</v>
      </c>
      <c r="G19" s="198">
        <v>124000</v>
      </c>
      <c r="H19" s="198">
        <v>252000</v>
      </c>
      <c r="I19" s="198">
        <v>140000</v>
      </c>
      <c r="J19" s="226" t="s">
        <v>1708</v>
      </c>
      <c r="K19" s="225"/>
      <c r="L19" s="225"/>
      <c r="M19" s="226"/>
      <c r="N19" s="226" t="s">
        <v>1713</v>
      </c>
      <c r="P19" s="144" t="str">
        <f t="shared" si="3"/>
        <v>323</v>
      </c>
      <c r="Q19" s="144" t="str">
        <f t="shared" si="4"/>
        <v>32</v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>
        <v>52</v>
      </c>
      <c r="B20" s="149" t="str">
        <f t="shared" si="1"/>
        <v>Ostale pomoći</v>
      </c>
      <c r="C20" s="154">
        <v>4221</v>
      </c>
      <c r="D20" s="149" t="str">
        <f t="shared" si="0"/>
        <v>Uredska oprema i namještaj</v>
      </c>
      <c r="E20" s="201" t="s">
        <v>914</v>
      </c>
      <c r="F20" s="149" t="str">
        <f t="shared" si="2"/>
        <v>NOVI PODPROJEKT</v>
      </c>
      <c r="G20" s="198">
        <v>235000</v>
      </c>
      <c r="H20" s="198">
        <v>0</v>
      </c>
      <c r="I20" s="198">
        <v>0</v>
      </c>
      <c r="J20" s="226" t="s">
        <v>1708</v>
      </c>
      <c r="K20" s="225"/>
      <c r="L20" s="225"/>
      <c r="M20" s="226"/>
      <c r="N20" s="226"/>
      <c r="P20" s="144" t="str">
        <f t="shared" si="3"/>
        <v>422</v>
      </c>
      <c r="Q20" s="144" t="str">
        <f t="shared" si="4"/>
        <v>42</v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>
        <v>52</v>
      </c>
      <c r="B21" s="149" t="str">
        <f t="shared" si="1"/>
        <v>Ostale pomoći</v>
      </c>
      <c r="C21" s="154">
        <v>3211</v>
      </c>
      <c r="D21" s="149" t="str">
        <f t="shared" si="0"/>
        <v>Službena putovanja</v>
      </c>
      <c r="E21" s="201" t="s">
        <v>1203</v>
      </c>
      <c r="F21" s="149" t="str">
        <f t="shared" si="2"/>
        <v>Provedba HKO-a na razini visokog obrazovanja</v>
      </c>
      <c r="G21" s="198">
        <v>34000</v>
      </c>
      <c r="H21" s="198">
        <v>0</v>
      </c>
      <c r="I21" s="198">
        <v>3000</v>
      </c>
      <c r="J21" s="226" t="s">
        <v>1716</v>
      </c>
      <c r="K21" s="259" t="s">
        <v>1692</v>
      </c>
      <c r="L21" s="259" t="s">
        <v>1697</v>
      </c>
      <c r="M21" s="226" t="s">
        <v>1720</v>
      </c>
      <c r="N21" s="226" t="s">
        <v>1717</v>
      </c>
      <c r="P21" s="144" t="str">
        <f t="shared" si="3"/>
        <v>321</v>
      </c>
      <c r="Q21" s="144" t="str">
        <f t="shared" si="4"/>
        <v>32</v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>
        <v>52</v>
      </c>
      <c r="B22" s="149" t="str">
        <f t="shared" si="1"/>
        <v>Ostale pomoći</v>
      </c>
      <c r="C22" s="154">
        <v>3221</v>
      </c>
      <c r="D22" s="149" t="str">
        <f t="shared" si="0"/>
        <v>Uredski materijal i ostali materijalni rashodi</v>
      </c>
      <c r="E22" s="201" t="s">
        <v>1203</v>
      </c>
      <c r="F22" s="149" t="str">
        <f t="shared" si="2"/>
        <v>Provedba HKO-a na razini visokog obrazovanja</v>
      </c>
      <c r="G22" s="198">
        <v>6000</v>
      </c>
      <c r="H22" s="198">
        <v>8000</v>
      </c>
      <c r="I22" s="198">
        <v>6000</v>
      </c>
      <c r="J22" s="226" t="s">
        <v>1716</v>
      </c>
      <c r="K22" s="225"/>
      <c r="L22" s="225"/>
      <c r="M22" s="226"/>
      <c r="N22" s="226" t="s">
        <v>1718</v>
      </c>
      <c r="P22" s="144" t="str">
        <f t="shared" si="3"/>
        <v>322</v>
      </c>
      <c r="Q22" s="144" t="str">
        <f t="shared" si="4"/>
        <v>32</v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>
        <v>52</v>
      </c>
      <c r="B23" s="149" t="str">
        <f t="shared" si="1"/>
        <v>Ostale pomoći</v>
      </c>
      <c r="C23" s="154">
        <v>3231</v>
      </c>
      <c r="D23" s="149" t="str">
        <f t="shared" si="0"/>
        <v>Usluge telefona, pošte i prijevoza</v>
      </c>
      <c r="E23" s="201" t="s">
        <v>1203</v>
      </c>
      <c r="F23" s="149" t="str">
        <f t="shared" si="2"/>
        <v>Provedba HKO-a na razini visokog obrazovanja</v>
      </c>
      <c r="G23" s="198">
        <v>5000</v>
      </c>
      <c r="H23" s="198">
        <v>18000</v>
      </c>
      <c r="I23" s="198">
        <v>14000</v>
      </c>
      <c r="J23" s="226" t="s">
        <v>1716</v>
      </c>
      <c r="K23" s="225"/>
      <c r="L23" s="225"/>
      <c r="M23" s="226"/>
      <c r="N23" s="226" t="s">
        <v>1719</v>
      </c>
      <c r="P23" s="144" t="str">
        <f t="shared" si="3"/>
        <v>323</v>
      </c>
      <c r="Q23" s="144" t="str">
        <f t="shared" si="4"/>
        <v>32</v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>
        <v>52</v>
      </c>
      <c r="B24" s="149" t="str">
        <f t="shared" si="1"/>
        <v>Ostale pomoći</v>
      </c>
      <c r="C24" s="154">
        <v>3237</v>
      </c>
      <c r="D24" s="149" t="str">
        <f t="shared" si="0"/>
        <v>Intelektualne i osobne usluge</v>
      </c>
      <c r="E24" s="201" t="s">
        <v>1203</v>
      </c>
      <c r="F24" s="149" t="str">
        <f t="shared" si="2"/>
        <v>Provedba HKO-a na razini visokog obrazovanja</v>
      </c>
      <c r="G24" s="198">
        <v>113000</v>
      </c>
      <c r="H24" s="198">
        <v>104000</v>
      </c>
      <c r="I24" s="198">
        <v>14000</v>
      </c>
      <c r="J24" s="226" t="s">
        <v>1716</v>
      </c>
      <c r="K24" s="225"/>
      <c r="L24" s="225"/>
      <c r="M24" s="226"/>
      <c r="N24" s="226"/>
      <c r="P24" s="144" t="str">
        <f t="shared" si="3"/>
        <v>323</v>
      </c>
      <c r="Q24" s="144" t="str">
        <f t="shared" si="4"/>
        <v>32</v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40" workbookViewId="0">
      <selection activeCell="E62" sqref="E62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53" t="s">
        <v>77</v>
      </c>
      <c r="B28" s="254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53" t="s">
        <v>864</v>
      </c>
      <c r="B39" s="254" t="s">
        <v>865</v>
      </c>
    </row>
    <row r="40" spans="1:2">
      <c r="A40" s="236" t="s">
        <v>111</v>
      </c>
      <c r="B40" s="237" t="s">
        <v>1287</v>
      </c>
    </row>
    <row r="41" spans="1:2">
      <c r="A41" s="253" t="s">
        <v>136</v>
      </c>
      <c r="B41" s="254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53" t="s">
        <v>194</v>
      </c>
      <c r="B51" s="254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4"/>
  <sheetViews>
    <sheetView topLeftCell="A189" workbookViewId="0">
      <selection activeCell="A207" sqref="A207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57" t="s">
        <v>1667</v>
      </c>
      <c r="B78" s="258" t="s">
        <v>1680</v>
      </c>
    </row>
    <row r="79" spans="1:2">
      <c r="A79" s="257" t="s">
        <v>1666</v>
      </c>
      <c r="B79" s="258" t="s">
        <v>1675</v>
      </c>
    </row>
    <row r="80" spans="1:2">
      <c r="A80" s="257" t="s">
        <v>1668</v>
      </c>
      <c r="B80" s="258" t="s">
        <v>1678</v>
      </c>
    </row>
    <row r="81" spans="1:2">
      <c r="A81" s="257" t="s">
        <v>1669</v>
      </c>
      <c r="B81" s="258" t="s">
        <v>1674</v>
      </c>
    </row>
    <row r="82" spans="1:2">
      <c r="A82" s="257" t="s">
        <v>1679</v>
      </c>
      <c r="B82" s="258" t="s">
        <v>1682</v>
      </c>
    </row>
    <row r="83" spans="1:2">
      <c r="A83" s="257" t="s">
        <v>1681</v>
      </c>
      <c r="B83" s="258" t="s">
        <v>1673</v>
      </c>
    </row>
    <row r="84" spans="1:2">
      <c r="A84" s="257" t="s">
        <v>1683</v>
      </c>
      <c r="B84" s="258" t="s">
        <v>1676</v>
      </c>
    </row>
    <row r="85" spans="1:2">
      <c r="A85" s="245" t="s">
        <v>144</v>
      </c>
      <c r="B85" s="249" t="s">
        <v>1290</v>
      </c>
    </row>
    <row r="86" spans="1:2">
      <c r="A86" s="247" t="s">
        <v>979</v>
      </c>
      <c r="B86" s="248" t="s">
        <v>980</v>
      </c>
    </row>
    <row r="87" spans="1:2">
      <c r="A87" s="247" t="s">
        <v>981</v>
      </c>
      <c r="B87" s="248" t="s">
        <v>982</v>
      </c>
    </row>
    <row r="88" spans="1:2">
      <c r="A88" s="247" t="s">
        <v>983</v>
      </c>
      <c r="B88" s="248" t="s">
        <v>984</v>
      </c>
    </row>
    <row r="89" spans="1:2">
      <c r="A89" s="247" t="s">
        <v>985</v>
      </c>
      <c r="B89" s="248" t="s">
        <v>986</v>
      </c>
    </row>
    <row r="90" spans="1:2">
      <c r="A90" s="247" t="s">
        <v>987</v>
      </c>
      <c r="B90" s="248" t="s">
        <v>988</v>
      </c>
    </row>
    <row r="91" spans="1:2">
      <c r="A91" s="247" t="s">
        <v>989</v>
      </c>
      <c r="B91" s="248" t="s">
        <v>990</v>
      </c>
    </row>
    <row r="92" spans="1:2">
      <c r="A92" s="247" t="s">
        <v>991</v>
      </c>
      <c r="B92" s="248" t="s">
        <v>992</v>
      </c>
    </row>
    <row r="93" spans="1:2">
      <c r="A93" s="247" t="s">
        <v>993</v>
      </c>
      <c r="B93" s="248" t="s">
        <v>994</v>
      </c>
    </row>
    <row r="94" spans="1:2">
      <c r="A94" s="245" t="s">
        <v>150</v>
      </c>
      <c r="B94" s="249" t="s">
        <v>1291</v>
      </c>
    </row>
    <row r="95" spans="1:2">
      <c r="A95" s="247" t="s">
        <v>995</v>
      </c>
      <c r="B95" s="248" t="s">
        <v>996</v>
      </c>
    </row>
    <row r="96" spans="1:2">
      <c r="A96" s="247" t="s">
        <v>997</v>
      </c>
      <c r="B96" s="248" t="s">
        <v>998</v>
      </c>
    </row>
    <row r="97" spans="1:2">
      <c r="A97" s="247" t="s">
        <v>999</v>
      </c>
      <c r="B97" s="248" t="s">
        <v>1000</v>
      </c>
    </row>
    <row r="98" spans="1:2">
      <c r="A98" s="247" t="s">
        <v>1001</v>
      </c>
      <c r="B98" s="248" t="s">
        <v>1002</v>
      </c>
    </row>
    <row r="99" spans="1:2">
      <c r="A99" s="247" t="s">
        <v>1003</v>
      </c>
      <c r="B99" s="248" t="s">
        <v>1004</v>
      </c>
    </row>
    <row r="100" spans="1:2">
      <c r="A100" s="247" t="s">
        <v>1005</v>
      </c>
      <c r="B100" s="248" t="s">
        <v>1006</v>
      </c>
    </row>
    <row r="101" spans="1:2">
      <c r="A101" s="247" t="s">
        <v>1007</v>
      </c>
      <c r="B101" s="248" t="s">
        <v>1008</v>
      </c>
    </row>
    <row r="102" spans="1:2">
      <c r="A102" s="247" t="s">
        <v>1009</v>
      </c>
      <c r="B102" s="248" t="s">
        <v>1010</v>
      </c>
    </row>
    <row r="103" spans="1:2">
      <c r="A103" s="245" t="s">
        <v>152</v>
      </c>
      <c r="B103" s="249" t="s">
        <v>1292</v>
      </c>
    </row>
    <row r="104" spans="1:2">
      <c r="A104" s="247" t="s">
        <v>1011</v>
      </c>
      <c r="B104" s="248" t="s">
        <v>1012</v>
      </c>
    </row>
    <row r="105" spans="1:2">
      <c r="A105" s="247" t="s">
        <v>1013</v>
      </c>
      <c r="B105" s="248" t="s">
        <v>1014</v>
      </c>
    </row>
    <row r="106" spans="1:2">
      <c r="A106" s="247" t="s">
        <v>1015</v>
      </c>
      <c r="B106" s="248" t="s">
        <v>1016</v>
      </c>
    </row>
    <row r="107" spans="1:2">
      <c r="A107" s="245" t="s">
        <v>154</v>
      </c>
      <c r="B107" s="249" t="s">
        <v>1293</v>
      </c>
    </row>
    <row r="108" spans="1:2">
      <c r="A108" s="247" t="s">
        <v>1017</v>
      </c>
      <c r="B108" s="248" t="s">
        <v>1018</v>
      </c>
    </row>
    <row r="109" spans="1:2">
      <c r="A109" s="247" t="s">
        <v>1019</v>
      </c>
      <c r="B109" s="248" t="s">
        <v>1020</v>
      </c>
    </row>
    <row r="110" spans="1:2">
      <c r="A110" s="247" t="s">
        <v>1021</v>
      </c>
      <c r="B110" s="248" t="s">
        <v>1022</v>
      </c>
    </row>
    <row r="111" spans="1:2">
      <c r="A111" s="247" t="s">
        <v>1023</v>
      </c>
      <c r="B111" s="248" t="s">
        <v>1024</v>
      </c>
    </row>
    <row r="112" spans="1:2">
      <c r="A112" s="247" t="s">
        <v>1025</v>
      </c>
      <c r="B112" s="248" t="s">
        <v>1026</v>
      </c>
    </row>
    <row r="113" spans="1:2">
      <c r="A113" s="247" t="s">
        <v>1027</v>
      </c>
      <c r="B113" s="248" t="s">
        <v>1028</v>
      </c>
    </row>
    <row r="114" spans="1:2">
      <c r="A114" s="247" t="s">
        <v>1029</v>
      </c>
      <c r="B114" s="248" t="s">
        <v>1030</v>
      </c>
    </row>
    <row r="115" spans="1:2">
      <c r="A115" s="247" t="s">
        <v>1031</v>
      </c>
      <c r="B115" s="248" t="s">
        <v>1032</v>
      </c>
    </row>
    <row r="116" spans="1:2">
      <c r="A116" s="247" t="s">
        <v>1033</v>
      </c>
      <c r="B116" s="248" t="s">
        <v>1034</v>
      </c>
    </row>
    <row r="117" spans="1:2">
      <c r="A117" s="247" t="s">
        <v>1035</v>
      </c>
      <c r="B117" s="248" t="s">
        <v>1036</v>
      </c>
    </row>
    <row r="118" spans="1:2">
      <c r="A118" s="247" t="s">
        <v>1037</v>
      </c>
      <c r="B118" s="248" t="s">
        <v>1038</v>
      </c>
    </row>
    <row r="119" spans="1:2" ht="22.5">
      <c r="A119" s="247" t="s">
        <v>1039</v>
      </c>
      <c r="B119" s="248" t="s">
        <v>1040</v>
      </c>
    </row>
    <row r="120" spans="1:2">
      <c r="A120" s="247" t="s">
        <v>1041</v>
      </c>
      <c r="B120" s="248" t="s">
        <v>1042</v>
      </c>
    </row>
    <row r="121" spans="1:2">
      <c r="A121" s="247" t="s">
        <v>1043</v>
      </c>
      <c r="B121" s="248" t="s">
        <v>1044</v>
      </c>
    </row>
    <row r="122" spans="1:2">
      <c r="A122" s="247" t="s">
        <v>1045</v>
      </c>
      <c r="B122" s="248" t="s">
        <v>1046</v>
      </c>
    </row>
    <row r="123" spans="1:2">
      <c r="A123" s="247" t="s">
        <v>1047</v>
      </c>
      <c r="B123" s="248" t="s">
        <v>1048</v>
      </c>
    </row>
    <row r="124" spans="1:2">
      <c r="A124" s="247" t="s">
        <v>1049</v>
      </c>
      <c r="B124" s="248" t="s">
        <v>1050</v>
      </c>
    </row>
    <row r="125" spans="1:2">
      <c r="A125" s="247" t="s">
        <v>1051</v>
      </c>
      <c r="B125" s="248" t="s">
        <v>1052</v>
      </c>
    </row>
    <row r="126" spans="1:2">
      <c r="A126" s="247" t="s">
        <v>1053</v>
      </c>
      <c r="B126" s="248" t="s">
        <v>1054</v>
      </c>
    </row>
    <row r="127" spans="1:2">
      <c r="A127" s="247" t="s">
        <v>1055</v>
      </c>
      <c r="B127" s="248" t="s">
        <v>1056</v>
      </c>
    </row>
    <row r="128" spans="1:2">
      <c r="A128" s="247" t="s">
        <v>1057</v>
      </c>
      <c r="B128" s="248" t="s">
        <v>1058</v>
      </c>
    </row>
    <row r="129" spans="1:2">
      <c r="A129" s="247" t="s">
        <v>1059</v>
      </c>
      <c r="B129" s="248" t="s">
        <v>1060</v>
      </c>
    </row>
    <row r="130" spans="1:2">
      <c r="A130" s="247" t="s">
        <v>1061</v>
      </c>
      <c r="B130" s="248" t="s">
        <v>1062</v>
      </c>
    </row>
    <row r="131" spans="1:2">
      <c r="A131" s="247" t="s">
        <v>1063</v>
      </c>
      <c r="B131" s="248" t="s">
        <v>1064</v>
      </c>
    </row>
    <row r="132" spans="1:2">
      <c r="A132" s="247" t="s">
        <v>1065</v>
      </c>
      <c r="B132" s="248" t="s">
        <v>1066</v>
      </c>
    </row>
    <row r="133" spans="1:2">
      <c r="A133" s="247" t="s">
        <v>1067</v>
      </c>
      <c r="B133" s="248" t="s">
        <v>1068</v>
      </c>
    </row>
    <row r="134" spans="1:2">
      <c r="A134" s="247" t="s">
        <v>1069</v>
      </c>
      <c r="B134" s="248" t="s">
        <v>1070</v>
      </c>
    </row>
    <row r="135" spans="1:2">
      <c r="A135" s="247" t="s">
        <v>1071</v>
      </c>
      <c r="B135" s="248" t="s">
        <v>1072</v>
      </c>
    </row>
    <row r="136" spans="1:2">
      <c r="A136" s="247" t="s">
        <v>1073</v>
      </c>
      <c r="B136" s="248" t="s">
        <v>1072</v>
      </c>
    </row>
    <row r="137" spans="1:2">
      <c r="A137" s="247" t="s">
        <v>1074</v>
      </c>
      <c r="B137" s="248" t="s">
        <v>1075</v>
      </c>
    </row>
    <row r="138" spans="1:2">
      <c r="A138" s="247" t="s">
        <v>1076</v>
      </c>
      <c r="B138" s="248" t="s">
        <v>1077</v>
      </c>
    </row>
    <row r="139" spans="1:2">
      <c r="A139" s="247" t="s">
        <v>1078</v>
      </c>
      <c r="B139" s="248" t="s">
        <v>1075</v>
      </c>
    </row>
    <row r="140" spans="1:2">
      <c r="A140" s="245" t="s">
        <v>158</v>
      </c>
      <c r="B140" s="249" t="s">
        <v>1294</v>
      </c>
    </row>
    <row r="141" spans="1:2">
      <c r="A141" s="247" t="s">
        <v>1079</v>
      </c>
      <c r="B141" s="248" t="s">
        <v>1080</v>
      </c>
    </row>
    <row r="142" spans="1:2">
      <c r="A142" s="247" t="s">
        <v>1081</v>
      </c>
      <c r="B142" s="248" t="s">
        <v>1082</v>
      </c>
    </row>
    <row r="143" spans="1:2">
      <c r="A143" s="247" t="s">
        <v>1083</v>
      </c>
      <c r="B143" s="248" t="s">
        <v>1084</v>
      </c>
    </row>
    <row r="144" spans="1:2">
      <c r="A144" s="247" t="s">
        <v>1085</v>
      </c>
      <c r="B144" s="248" t="s">
        <v>1086</v>
      </c>
    </row>
    <row r="145" spans="1:2">
      <c r="A145" s="247" t="s">
        <v>1087</v>
      </c>
      <c r="B145" s="248" t="s">
        <v>1088</v>
      </c>
    </row>
    <row r="146" spans="1:2">
      <c r="A146" s="247" t="s">
        <v>1089</v>
      </c>
      <c r="B146" s="248" t="s">
        <v>1090</v>
      </c>
    </row>
    <row r="147" spans="1:2">
      <c r="A147" s="247" t="s">
        <v>1091</v>
      </c>
      <c r="B147" s="248" t="s">
        <v>1092</v>
      </c>
    </row>
    <row r="148" spans="1:2">
      <c r="A148" s="247" t="s">
        <v>1093</v>
      </c>
      <c r="B148" s="248" t="s">
        <v>1094</v>
      </c>
    </row>
    <row r="149" spans="1:2">
      <c r="A149" s="247" t="s">
        <v>1095</v>
      </c>
      <c r="B149" s="248" t="s">
        <v>1096</v>
      </c>
    </row>
    <row r="150" spans="1:2">
      <c r="A150" s="247" t="s">
        <v>1097</v>
      </c>
      <c r="B150" s="248" t="s">
        <v>1098</v>
      </c>
    </row>
    <row r="151" spans="1:2">
      <c r="A151" s="247" t="s">
        <v>1099</v>
      </c>
      <c r="B151" s="248" t="s">
        <v>1100</v>
      </c>
    </row>
    <row r="152" spans="1:2">
      <c r="A152" s="247" t="s">
        <v>1101</v>
      </c>
      <c r="B152" s="248" t="s">
        <v>1102</v>
      </c>
    </row>
    <row r="153" spans="1:2">
      <c r="A153" s="247" t="s">
        <v>1103</v>
      </c>
      <c r="B153" s="248" t="s">
        <v>1104</v>
      </c>
    </row>
    <row r="154" spans="1:2">
      <c r="A154" s="247" t="s">
        <v>1105</v>
      </c>
      <c r="B154" s="248" t="s">
        <v>1106</v>
      </c>
    </row>
    <row r="155" spans="1:2">
      <c r="A155" s="247" t="s">
        <v>1107</v>
      </c>
      <c r="B155" s="248" t="s">
        <v>1108</v>
      </c>
    </row>
    <row r="156" spans="1:2">
      <c r="A156" s="247" t="s">
        <v>1109</v>
      </c>
      <c r="B156" s="248" t="s">
        <v>1110</v>
      </c>
    </row>
    <row r="157" spans="1:2">
      <c r="A157" s="247" t="s">
        <v>1111</v>
      </c>
      <c r="B157" s="248" t="s">
        <v>1112</v>
      </c>
    </row>
    <row r="158" spans="1:2">
      <c r="A158" s="247" t="s">
        <v>1113</v>
      </c>
      <c r="B158" s="248" t="s">
        <v>1114</v>
      </c>
    </row>
    <row r="159" spans="1:2">
      <c r="A159" s="247" t="s">
        <v>1115</v>
      </c>
      <c r="B159" s="248" t="s">
        <v>1116</v>
      </c>
    </row>
    <row r="160" spans="1:2">
      <c r="A160" s="247" t="s">
        <v>1117</v>
      </c>
      <c r="B160" s="248" t="s">
        <v>1118</v>
      </c>
    </row>
    <row r="161" spans="1:2">
      <c r="A161" s="247" t="s">
        <v>1119</v>
      </c>
      <c r="B161" s="248" t="s">
        <v>1120</v>
      </c>
    </row>
    <row r="162" spans="1:2">
      <c r="A162" s="247" t="s">
        <v>1121</v>
      </c>
      <c r="B162" s="248" t="s">
        <v>1122</v>
      </c>
    </row>
    <row r="163" spans="1:2">
      <c r="A163" s="247" t="s">
        <v>1123</v>
      </c>
      <c r="B163" s="248" t="s">
        <v>1124</v>
      </c>
    </row>
    <row r="164" spans="1:2">
      <c r="A164" s="247" t="s">
        <v>1125</v>
      </c>
      <c r="B164" s="248" t="s">
        <v>1126</v>
      </c>
    </row>
    <row r="165" spans="1:2">
      <c r="A165" s="247" t="s">
        <v>1127</v>
      </c>
      <c r="B165" s="248" t="s">
        <v>1128</v>
      </c>
    </row>
    <row r="166" spans="1:2">
      <c r="A166" s="247" t="s">
        <v>1129</v>
      </c>
      <c r="B166" s="248" t="s">
        <v>1130</v>
      </c>
    </row>
    <row r="167" spans="1:2">
      <c r="A167" s="247" t="s">
        <v>1131</v>
      </c>
      <c r="B167" s="248" t="s">
        <v>1132</v>
      </c>
    </row>
    <row r="168" spans="1:2">
      <c r="A168" s="247" t="s">
        <v>1133</v>
      </c>
      <c r="B168" s="248" t="s">
        <v>1134</v>
      </c>
    </row>
    <row r="169" spans="1:2">
      <c r="A169" s="247" t="s">
        <v>1135</v>
      </c>
      <c r="B169" s="248" t="s">
        <v>1136</v>
      </c>
    </row>
    <row r="170" spans="1:2">
      <c r="A170" s="247" t="s">
        <v>1137</v>
      </c>
      <c r="B170" s="248" t="s">
        <v>1138</v>
      </c>
    </row>
    <row r="171" spans="1:2">
      <c r="A171" s="247" t="s">
        <v>1139</v>
      </c>
      <c r="B171" s="248" t="s">
        <v>1140</v>
      </c>
    </row>
    <row r="172" spans="1:2">
      <c r="A172" s="247" t="s">
        <v>1141</v>
      </c>
      <c r="B172" s="248" t="s">
        <v>1142</v>
      </c>
    </row>
    <row r="173" spans="1:2">
      <c r="A173" s="247" t="s">
        <v>1143</v>
      </c>
      <c r="B173" s="248" t="s">
        <v>1144</v>
      </c>
    </row>
    <row r="174" spans="1:2">
      <c r="A174" s="247" t="s">
        <v>1145</v>
      </c>
      <c r="B174" s="248" t="s">
        <v>1146</v>
      </c>
    </row>
    <row r="175" spans="1:2">
      <c r="A175" s="247" t="s">
        <v>1147</v>
      </c>
      <c r="B175" s="248" t="s">
        <v>1148</v>
      </c>
    </row>
    <row r="176" spans="1:2">
      <c r="A176" s="247" t="s">
        <v>1149</v>
      </c>
      <c r="B176" s="248" t="s">
        <v>1150</v>
      </c>
    </row>
    <row r="177" spans="1:2">
      <c r="A177" s="247" t="s">
        <v>1151</v>
      </c>
      <c r="B177" s="248" t="s">
        <v>1152</v>
      </c>
    </row>
    <row r="178" spans="1:2">
      <c r="A178" s="247" t="s">
        <v>1153</v>
      </c>
      <c r="B178" s="248" t="s">
        <v>1154</v>
      </c>
    </row>
    <row r="179" spans="1:2">
      <c r="A179" s="247" t="s">
        <v>1155</v>
      </c>
      <c r="B179" s="248" t="s">
        <v>1156</v>
      </c>
    </row>
    <row r="180" spans="1:2">
      <c r="A180" s="247" t="s">
        <v>1157</v>
      </c>
      <c r="B180" s="248" t="s">
        <v>1158</v>
      </c>
    </row>
    <row r="181" spans="1:2">
      <c r="A181" s="247" t="s">
        <v>1159</v>
      </c>
      <c r="B181" s="248" t="s">
        <v>1160</v>
      </c>
    </row>
    <row r="182" spans="1:2">
      <c r="A182" s="247" t="s">
        <v>1161</v>
      </c>
      <c r="B182" s="248" t="s">
        <v>1162</v>
      </c>
    </row>
    <row r="183" spans="1:2">
      <c r="A183" s="247" t="s">
        <v>1163</v>
      </c>
      <c r="B183" s="248" t="s">
        <v>1164</v>
      </c>
    </row>
    <row r="184" spans="1:2">
      <c r="A184" s="247" t="s">
        <v>1165</v>
      </c>
      <c r="B184" s="248" t="s">
        <v>1166</v>
      </c>
    </row>
    <row r="185" spans="1:2">
      <c r="A185" s="247" t="s">
        <v>1167</v>
      </c>
      <c r="B185" s="248" t="s">
        <v>1168</v>
      </c>
    </row>
    <row r="186" spans="1:2">
      <c r="A186" s="247" t="s">
        <v>1169</v>
      </c>
      <c r="B186" s="248" t="s">
        <v>1170</v>
      </c>
    </row>
    <row r="187" spans="1:2">
      <c r="A187" s="247" t="s">
        <v>1171</v>
      </c>
      <c r="B187" s="248" t="s">
        <v>1172</v>
      </c>
    </row>
    <row r="188" spans="1:2">
      <c r="A188" s="247" t="s">
        <v>1173</v>
      </c>
      <c r="B188" s="248" t="s">
        <v>1174</v>
      </c>
    </row>
    <row r="189" spans="1:2">
      <c r="A189" s="247" t="s">
        <v>1175</v>
      </c>
      <c r="B189" s="248" t="s">
        <v>1176</v>
      </c>
    </row>
    <row r="190" spans="1:2">
      <c r="A190" s="247" t="s">
        <v>1177</v>
      </c>
      <c r="B190" s="248" t="s">
        <v>1178</v>
      </c>
    </row>
    <row r="191" spans="1:2">
      <c r="A191" s="247" t="s">
        <v>1179</v>
      </c>
      <c r="B191" s="248" t="s">
        <v>1180</v>
      </c>
    </row>
    <row r="192" spans="1:2">
      <c r="A192" s="247" t="s">
        <v>1181</v>
      </c>
      <c r="B192" s="248" t="s">
        <v>1182</v>
      </c>
    </row>
    <row r="193" spans="1:2">
      <c r="A193" s="247" t="s">
        <v>1183</v>
      </c>
      <c r="B193" s="248" t="s">
        <v>1184</v>
      </c>
    </row>
    <row r="194" spans="1:2">
      <c r="A194" s="247" t="s">
        <v>1185</v>
      </c>
      <c r="B194" s="248" t="s">
        <v>1186</v>
      </c>
    </row>
    <row r="195" spans="1:2">
      <c r="A195" s="245" t="s">
        <v>164</v>
      </c>
      <c r="B195" s="249" t="s">
        <v>1295</v>
      </c>
    </row>
    <row r="196" spans="1:2">
      <c r="A196" s="247" t="s">
        <v>1187</v>
      </c>
      <c r="B196" s="248" t="s">
        <v>1188</v>
      </c>
    </row>
    <row r="197" spans="1:2">
      <c r="A197" s="247" t="s">
        <v>1189</v>
      </c>
      <c r="B197" s="248" t="s">
        <v>1190</v>
      </c>
    </row>
    <row r="198" spans="1:2">
      <c r="A198" s="247" t="s">
        <v>1191</v>
      </c>
      <c r="B198" s="248" t="s">
        <v>1192</v>
      </c>
    </row>
    <row r="199" spans="1:2">
      <c r="A199" s="247" t="s">
        <v>1193</v>
      </c>
      <c r="B199" s="248" t="s">
        <v>1194</v>
      </c>
    </row>
    <row r="200" spans="1:2">
      <c r="A200" s="245" t="s">
        <v>287</v>
      </c>
      <c r="B200" s="249" t="s">
        <v>896</v>
      </c>
    </row>
    <row r="201" spans="1:2">
      <c r="A201" s="247" t="s">
        <v>1195</v>
      </c>
      <c r="B201" s="248" t="s">
        <v>370</v>
      </c>
    </row>
    <row r="202" spans="1:2">
      <c r="A202" s="247" t="s">
        <v>1196</v>
      </c>
      <c r="B202" s="248" t="s">
        <v>371</v>
      </c>
    </row>
    <row r="203" spans="1:2">
      <c r="A203" s="247" t="s">
        <v>1197</v>
      </c>
      <c r="B203" s="248" t="s">
        <v>1198</v>
      </c>
    </row>
    <row r="204" spans="1:2">
      <c r="A204" s="247" t="s">
        <v>1199</v>
      </c>
      <c r="B204" s="248" t="s">
        <v>1200</v>
      </c>
    </row>
    <row r="205" spans="1:2">
      <c r="A205" s="245" t="s">
        <v>897</v>
      </c>
      <c r="B205" s="249" t="s">
        <v>898</v>
      </c>
    </row>
    <row r="206" spans="1:2">
      <c r="A206" s="247" t="s">
        <v>1201</v>
      </c>
      <c r="B206" s="248" t="s">
        <v>1202</v>
      </c>
    </row>
    <row r="207" spans="1:2">
      <c r="A207" s="247" t="s">
        <v>1203</v>
      </c>
      <c r="B207" s="248" t="s">
        <v>1204</v>
      </c>
    </row>
    <row r="208" spans="1:2">
      <c r="A208" s="247" t="s">
        <v>1205</v>
      </c>
      <c r="B208" s="248" t="s">
        <v>1206</v>
      </c>
    </row>
    <row r="209" spans="1:2">
      <c r="A209" s="245" t="s">
        <v>899</v>
      </c>
      <c r="B209" s="249" t="s">
        <v>900</v>
      </c>
    </row>
    <row r="210" spans="1:2">
      <c r="A210" s="247" t="s">
        <v>1207</v>
      </c>
      <c r="B210" s="248" t="s">
        <v>1208</v>
      </c>
    </row>
    <row r="211" spans="1:2">
      <c r="A211" s="243" t="s">
        <v>705</v>
      </c>
      <c r="B211" s="250" t="s">
        <v>1308</v>
      </c>
    </row>
    <row r="212" spans="1:2">
      <c r="A212" s="245" t="s">
        <v>1306</v>
      </c>
      <c r="B212" s="249" t="s">
        <v>1307</v>
      </c>
    </row>
    <row r="213" spans="1:2">
      <c r="A213" s="245" t="s">
        <v>907</v>
      </c>
      <c r="B213" s="249" t="s">
        <v>1312</v>
      </c>
    </row>
    <row r="214" spans="1:2">
      <c r="A214" s="247" t="s">
        <v>1209</v>
      </c>
      <c r="B214" s="248" t="s">
        <v>1210</v>
      </c>
    </row>
    <row r="215" spans="1:2">
      <c r="A215" s="247" t="s">
        <v>1211</v>
      </c>
      <c r="B215" s="248" t="s">
        <v>1212</v>
      </c>
    </row>
    <row r="216" spans="1:2">
      <c r="A216" s="247" t="s">
        <v>1213</v>
      </c>
      <c r="B216" s="248" t="s">
        <v>1214</v>
      </c>
    </row>
    <row r="217" spans="1:2">
      <c r="A217" s="247" t="s">
        <v>1215</v>
      </c>
      <c r="B217" s="248" t="s">
        <v>1216</v>
      </c>
    </row>
    <row r="218" spans="1:2">
      <c r="A218" s="247" t="s">
        <v>1217</v>
      </c>
      <c r="B218" s="248" t="s">
        <v>1218</v>
      </c>
    </row>
    <row r="219" spans="1:2">
      <c r="A219" s="247" t="s">
        <v>1219</v>
      </c>
      <c r="B219" s="248" t="s">
        <v>1220</v>
      </c>
    </row>
    <row r="220" spans="1:2">
      <c r="A220" s="247" t="s">
        <v>1221</v>
      </c>
      <c r="B220" s="248" t="s">
        <v>1222</v>
      </c>
    </row>
    <row r="221" spans="1:2">
      <c r="A221" s="247" t="s">
        <v>1223</v>
      </c>
      <c r="B221" s="248" t="s">
        <v>1224</v>
      </c>
    </row>
    <row r="222" spans="1:2">
      <c r="A222" s="247" t="s">
        <v>1225</v>
      </c>
      <c r="B222" s="248" t="s">
        <v>1226</v>
      </c>
    </row>
    <row r="223" spans="1:2">
      <c r="A223" s="247" t="s">
        <v>1227</v>
      </c>
      <c r="B223" s="248" t="s">
        <v>1228</v>
      </c>
    </row>
    <row r="224" spans="1:2">
      <c r="A224" s="247" t="s">
        <v>1229</v>
      </c>
      <c r="B224" s="248" t="s">
        <v>1230</v>
      </c>
    </row>
    <row r="225" spans="1:2">
      <c r="A225" s="247" t="s">
        <v>1231</v>
      </c>
      <c r="B225" s="248" t="s">
        <v>1232</v>
      </c>
    </row>
    <row r="226" spans="1:2">
      <c r="A226" s="247" t="s">
        <v>1233</v>
      </c>
      <c r="B226" s="248" t="s">
        <v>1234</v>
      </c>
    </row>
    <row r="227" spans="1:2">
      <c r="A227" s="247" t="s">
        <v>1235</v>
      </c>
      <c r="B227" s="248" t="s">
        <v>1236</v>
      </c>
    </row>
    <row r="228" spans="1:2">
      <c r="A228" s="247" t="s">
        <v>1237</v>
      </c>
      <c r="B228" s="248" t="s">
        <v>1238</v>
      </c>
    </row>
    <row r="229" spans="1:2">
      <c r="A229" s="247" t="s">
        <v>1239</v>
      </c>
      <c r="B229" s="248" t="s">
        <v>1240</v>
      </c>
    </row>
    <row r="230" spans="1:2">
      <c r="A230" s="247" t="s">
        <v>1241</v>
      </c>
      <c r="B230" s="248" t="s">
        <v>1242</v>
      </c>
    </row>
    <row r="231" spans="1:2">
      <c r="A231" s="247" t="s">
        <v>1243</v>
      </c>
      <c r="B231" s="248" t="s">
        <v>1244</v>
      </c>
    </row>
    <row r="232" spans="1:2">
      <c r="A232" s="247" t="s">
        <v>1245</v>
      </c>
      <c r="B232" s="248" t="s">
        <v>1246</v>
      </c>
    </row>
    <row r="233" spans="1:2" ht="22.5">
      <c r="A233" s="247" t="s">
        <v>1247</v>
      </c>
      <c r="B233" s="248" t="s">
        <v>1248</v>
      </c>
    </row>
    <row r="234" spans="1:2">
      <c r="A234" s="247" t="s">
        <v>1249</v>
      </c>
      <c r="B234" s="248" t="s">
        <v>1250</v>
      </c>
    </row>
    <row r="235" spans="1:2">
      <c r="A235" s="247" t="s">
        <v>1251</v>
      </c>
      <c r="B235" s="248" t="s">
        <v>1252</v>
      </c>
    </row>
    <row r="236" spans="1:2">
      <c r="A236" s="247" t="s">
        <v>1253</v>
      </c>
      <c r="B236" s="248" t="s">
        <v>1254</v>
      </c>
    </row>
    <row r="237" spans="1:2">
      <c r="A237" s="247" t="s">
        <v>1255</v>
      </c>
      <c r="B237" s="248" t="s">
        <v>1256</v>
      </c>
    </row>
    <row r="238" spans="1:2">
      <c r="A238" s="247" t="s">
        <v>1257</v>
      </c>
      <c r="B238" s="248" t="s">
        <v>1258</v>
      </c>
    </row>
    <row r="239" spans="1:2">
      <c r="A239" s="247" t="s">
        <v>1259</v>
      </c>
      <c r="B239" s="248" t="s">
        <v>1260</v>
      </c>
    </row>
    <row r="240" spans="1:2">
      <c r="A240" s="247" t="s">
        <v>1261</v>
      </c>
      <c r="B240" s="248" t="s">
        <v>1262</v>
      </c>
    </row>
    <row r="241" spans="1:2">
      <c r="A241" s="247" t="s">
        <v>1263</v>
      </c>
      <c r="B241" s="248" t="s">
        <v>1264</v>
      </c>
    </row>
    <row r="242" spans="1:2">
      <c r="A242" s="247" t="s">
        <v>1265</v>
      </c>
      <c r="B242" s="248" t="s">
        <v>1266</v>
      </c>
    </row>
    <row r="243" spans="1:2">
      <c r="A243" s="247" t="s">
        <v>1267</v>
      </c>
      <c r="B243" s="248" t="s">
        <v>1268</v>
      </c>
    </row>
    <row r="244" spans="1:2">
      <c r="A244" s="247" t="s">
        <v>1269</v>
      </c>
      <c r="B244" s="248" t="s">
        <v>1270</v>
      </c>
    </row>
    <row r="245" spans="1:2">
      <c r="A245" s="247" t="s">
        <v>1271</v>
      </c>
      <c r="B245" s="248" t="s">
        <v>1272</v>
      </c>
    </row>
    <row r="246" spans="1:2">
      <c r="A246" s="247" t="s">
        <v>1273</v>
      </c>
      <c r="B246" s="248" t="s">
        <v>1274</v>
      </c>
    </row>
    <row r="247" spans="1:2">
      <c r="A247" s="247" t="s">
        <v>1275</v>
      </c>
      <c r="B247" s="248" t="s">
        <v>1276</v>
      </c>
    </row>
    <row r="248" spans="1:2">
      <c r="A248" s="245" t="s">
        <v>913</v>
      </c>
      <c r="B248" s="249" t="s">
        <v>896</v>
      </c>
    </row>
    <row r="249" spans="1:2">
      <c r="A249" s="247" t="s">
        <v>1277</v>
      </c>
      <c r="B249" s="248" t="s">
        <v>370</v>
      </c>
    </row>
    <row r="250" spans="1:2">
      <c r="A250" s="247" t="s">
        <v>1278</v>
      </c>
      <c r="B250" s="248" t="s">
        <v>371</v>
      </c>
    </row>
    <row r="251" spans="1:2">
      <c r="A251" s="247" t="s">
        <v>1279</v>
      </c>
      <c r="B251" s="248" t="s">
        <v>1280</v>
      </c>
    </row>
    <row r="252" spans="1:2">
      <c r="A252" s="247" t="s">
        <v>1281</v>
      </c>
      <c r="B252" s="248" t="s">
        <v>1198</v>
      </c>
    </row>
    <row r="253" spans="1:2">
      <c r="A253" s="243" t="s">
        <v>1371</v>
      </c>
      <c r="B253" s="250" t="s">
        <v>1372</v>
      </c>
    </row>
    <row r="254" spans="1:2">
      <c r="A254" s="245" t="s">
        <v>1373</v>
      </c>
      <c r="B254" s="249" t="s">
        <v>1374</v>
      </c>
    </row>
    <row r="255" spans="1:2">
      <c r="A255" s="245" t="s">
        <v>1401</v>
      </c>
      <c r="B255" s="249" t="s">
        <v>1402</v>
      </c>
    </row>
    <row r="256" spans="1:2">
      <c r="A256" s="247" t="s">
        <v>1638</v>
      </c>
      <c r="B256" s="248" t="s">
        <v>1639</v>
      </c>
    </row>
    <row r="257" spans="1:2">
      <c r="A257" s="245" t="s">
        <v>1403</v>
      </c>
      <c r="B257" s="249" t="s">
        <v>1404</v>
      </c>
    </row>
    <row r="258" spans="1:2">
      <c r="A258" s="247" t="s">
        <v>1640</v>
      </c>
      <c r="B258" s="248" t="s">
        <v>1641</v>
      </c>
    </row>
    <row r="259" spans="1:2">
      <c r="A259" s="247" t="s">
        <v>1642</v>
      </c>
      <c r="B259" s="248" t="s">
        <v>1643</v>
      </c>
    </row>
    <row r="260" spans="1:2">
      <c r="A260" s="243" t="s">
        <v>1411</v>
      </c>
      <c r="B260" s="250" t="s">
        <v>1412</v>
      </c>
    </row>
    <row r="261" spans="1:2">
      <c r="A261" s="245" t="s">
        <v>1373</v>
      </c>
      <c r="B261" s="249" t="s">
        <v>1374</v>
      </c>
    </row>
    <row r="262" spans="1:2">
      <c r="A262" s="245" t="s">
        <v>1421</v>
      </c>
      <c r="B262" s="249" t="s">
        <v>1422</v>
      </c>
    </row>
    <row r="263" spans="1:2">
      <c r="A263" s="247" t="s">
        <v>1644</v>
      </c>
      <c r="B263" s="248" t="s">
        <v>1645</v>
      </c>
    </row>
    <row r="264" spans="1:2">
      <c r="A264" s="247" t="s">
        <v>1646</v>
      </c>
      <c r="B264" s="248" t="s">
        <v>1647</v>
      </c>
    </row>
    <row r="265" spans="1:2">
      <c r="A265" s="247" t="s">
        <v>1648</v>
      </c>
      <c r="B265" s="248" t="s">
        <v>1649</v>
      </c>
    </row>
    <row r="266" spans="1:2">
      <c r="A266" s="243" t="s">
        <v>1542</v>
      </c>
      <c r="B266" s="250" t="s">
        <v>1543</v>
      </c>
    </row>
    <row r="267" spans="1:2">
      <c r="A267" s="245" t="s">
        <v>1316</v>
      </c>
      <c r="B267" s="249" t="s">
        <v>1317</v>
      </c>
    </row>
    <row r="268" spans="1:2">
      <c r="A268" s="245" t="s">
        <v>1572</v>
      </c>
      <c r="B268" s="249" t="s">
        <v>898</v>
      </c>
    </row>
    <row r="269" spans="1:2">
      <c r="A269" s="247" t="s">
        <v>1650</v>
      </c>
      <c r="B269" s="248" t="s">
        <v>1651</v>
      </c>
    </row>
    <row r="270" spans="1:2">
      <c r="A270" s="247" t="s">
        <v>1652</v>
      </c>
      <c r="B270" s="248" t="s">
        <v>1653</v>
      </c>
    </row>
    <row r="271" spans="1:2">
      <c r="A271" s="247" t="s">
        <v>1654</v>
      </c>
      <c r="B271" s="248" t="s">
        <v>1655</v>
      </c>
    </row>
    <row r="272" spans="1:2">
      <c r="A272" s="247" t="s">
        <v>1656</v>
      </c>
      <c r="B272" s="248" t="s">
        <v>1657</v>
      </c>
    </row>
    <row r="273" spans="1:2">
      <c r="A273" s="247" t="s">
        <v>1658</v>
      </c>
      <c r="B273" s="248" t="s">
        <v>1659</v>
      </c>
    </row>
    <row r="274" spans="1:2">
      <c r="A274" s="247" t="s">
        <v>1660</v>
      </c>
      <c r="B274" s="248" t="s">
        <v>1661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Klaudija</cp:lastModifiedBy>
  <cp:lastPrinted>2019-12-02T08:57:52Z</cp:lastPrinted>
  <dcterms:created xsi:type="dcterms:W3CDTF">2018-09-10T07:36:17Z</dcterms:created>
  <dcterms:modified xsi:type="dcterms:W3CDTF">2019-12-16T07:59:11Z</dcterms:modified>
</cp:coreProperties>
</file>